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5589F29B-B31E-7043-922C-118971312BA0}"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T5" i="1"/>
  <c r="BT6" i="1"/>
  <c r="BT7" i="1"/>
  <c r="BT8" i="1"/>
  <c r="BF9" i="1"/>
  <c r="BT9" i="1"/>
  <c r="BF10" i="1"/>
  <c r="BT10" i="1"/>
  <c r="BF11" i="1"/>
  <c r="BT11" i="1"/>
  <c r="BF12" i="1"/>
  <c r="BT12" i="1"/>
  <c r="BF13" i="1"/>
  <c r="BT13" i="1"/>
  <c r="BF14" i="1"/>
  <c r="BT14"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T45" i="1"/>
  <c r="BF46" i="1"/>
  <c r="BT46" i="1"/>
  <c r="BF47" i="1"/>
  <c r="BT47" i="1"/>
  <c r="BF48" i="1"/>
  <c r="BT48" i="1"/>
  <c r="BT49" i="1"/>
  <c r="BT50" i="1"/>
  <c r="BF51" i="1"/>
  <c r="BT51" i="1"/>
  <c r="BF52" i="1"/>
  <c r="BT52" i="1"/>
  <c r="BF53" i="1"/>
  <c r="BT53" i="1"/>
  <c r="BT54" i="1"/>
  <c r="BT55" i="1"/>
  <c r="BF56" i="1"/>
  <c r="BT56" i="1"/>
  <c r="BF57" i="1"/>
  <c r="BT57" i="1"/>
  <c r="BF58" i="1"/>
  <c r="BT58" i="1"/>
  <c r="BF59" i="1"/>
  <c r="BT59" i="1"/>
  <c r="BF60" i="1"/>
  <c r="BT60" i="1"/>
  <c r="BF61" i="1"/>
  <c r="BT61" i="1"/>
  <c r="BF62" i="1"/>
  <c r="BT62" i="1"/>
  <c r="BF63" i="1"/>
  <c r="BT63" i="1"/>
  <c r="BF64" i="1"/>
  <c r="BT64" i="1"/>
  <c r="BT65" i="1"/>
  <c r="BF66" i="1"/>
  <c r="BT66" i="1"/>
  <c r="BF67" i="1"/>
  <c r="BT67" i="1"/>
  <c r="BF68" i="1"/>
  <c r="BT68" i="1"/>
  <c r="BF69" i="1"/>
  <c r="BT69" i="1"/>
  <c r="BF70" i="1"/>
  <c r="BT70" i="1"/>
  <c r="BF71" i="1"/>
  <c r="BT71" i="1"/>
  <c r="BF72" i="1"/>
  <c r="BT72" i="1"/>
  <c r="BF73" i="1"/>
  <c r="BT73" i="1"/>
  <c r="BF74" i="1"/>
  <c r="BT74" i="1"/>
  <c r="BT75" i="1"/>
  <c r="BF76" i="1"/>
  <c r="BT76" i="1"/>
  <c r="BF77" i="1"/>
  <c r="BT77" i="1"/>
  <c r="BF78" i="1"/>
  <c r="BT78" i="1"/>
  <c r="BF79" i="1"/>
  <c r="BT79" i="1"/>
  <c r="BT80" i="1"/>
  <c r="BT81" i="1"/>
  <c r="BT82" i="1"/>
  <c r="BF83" i="1"/>
  <c r="BT83" i="1"/>
  <c r="BT84" i="1"/>
  <c r="BF85" i="1"/>
  <c r="BT85" i="1"/>
  <c r="BF86" i="1"/>
  <c r="BT86" i="1"/>
  <c r="BF87" i="1"/>
  <c r="BT87" i="1"/>
  <c r="BF88" i="1"/>
  <c r="BT88" i="1"/>
  <c r="BF89" i="1"/>
  <c r="BT89" i="1"/>
  <c r="BF90" i="1"/>
  <c r="BT90" i="1"/>
  <c r="BF91" i="1"/>
  <c r="BT91" i="1"/>
  <c r="BF92" i="1"/>
  <c r="BT92" i="1"/>
  <c r="BF93" i="1"/>
  <c r="BT93"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T121" i="1"/>
  <c r="BF122" i="1"/>
  <c r="BT122" i="1"/>
  <c r="BF123" i="1"/>
  <c r="BT123" i="1"/>
  <c r="BF124" i="1"/>
  <c r="BT124" i="1"/>
  <c r="BF125" i="1"/>
  <c r="BT125" i="1"/>
  <c r="BT126" i="1"/>
  <c r="BF127" i="1"/>
  <c r="BT127" i="1"/>
  <c r="BF128" i="1"/>
  <c r="BT128" i="1"/>
  <c r="BF129" i="1"/>
  <c r="BT129" i="1"/>
  <c r="BF130" i="1"/>
  <c r="BT130" i="1"/>
  <c r="BF131" i="1"/>
  <c r="BT131" i="1"/>
  <c r="BF132" i="1"/>
  <c r="BT132" i="1"/>
  <c r="BF133" i="1"/>
  <c r="BT133" i="1"/>
  <c r="BF134" i="1"/>
  <c r="BT134"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T212" i="1"/>
  <c r="BF213" i="1"/>
  <c r="BT213" i="1"/>
  <c r="BF214" i="1"/>
  <c r="BT214" i="1"/>
  <c r="BF215" i="1"/>
  <c r="BT215" i="1"/>
  <c r="BF216" i="1"/>
  <c r="BT216" i="1"/>
  <c r="BF217" i="1"/>
  <c r="BT217" i="1"/>
  <c r="BT218" i="1"/>
  <c r="BF219" i="1"/>
  <c r="BT219" i="1"/>
  <c r="BF220" i="1"/>
  <c r="BT220" i="1"/>
  <c r="BF221" i="1"/>
  <c r="BT221" i="1"/>
  <c r="BF222" i="1"/>
  <c r="BT222" i="1"/>
  <c r="BF223" i="1"/>
  <c r="BT223" i="1"/>
  <c r="BF224" i="1"/>
  <c r="BT224" i="1"/>
  <c r="BT225" i="1"/>
  <c r="BF226" i="1"/>
  <c r="BT226" i="1"/>
  <c r="BF227" i="1"/>
  <c r="BT227" i="1"/>
  <c r="BT228" i="1"/>
  <c r="BF229" i="1"/>
  <c r="BT229" i="1"/>
  <c r="BF230" i="1"/>
  <c r="BT230" i="1"/>
  <c r="BT231" i="1"/>
  <c r="BT232" i="1"/>
  <c r="BT233" i="1"/>
  <c r="BF234" i="1"/>
  <c r="BT234" i="1"/>
  <c r="BT235" i="1"/>
  <c r="BF236" i="1"/>
  <c r="BT236" i="1"/>
  <c r="BF237" i="1"/>
  <c r="BT237" i="1"/>
  <c r="BF238" i="1"/>
  <c r="BT238" i="1"/>
  <c r="BF239" i="1"/>
  <c r="BT239" i="1"/>
  <c r="BF240" i="1"/>
  <c r="BT240" i="1"/>
  <c r="BF241" i="1"/>
  <c r="BT241" i="1"/>
  <c r="BT242" i="1"/>
  <c r="BF243" i="1"/>
  <c r="BT243" i="1"/>
  <c r="BF244" i="1"/>
  <c r="BT244" i="1"/>
  <c r="BF245" i="1"/>
  <c r="BT245" i="1"/>
  <c r="BF246" i="1"/>
  <c r="BT246" i="1"/>
  <c r="BF247" i="1"/>
  <c r="BT247" i="1"/>
  <c r="BF248" i="1"/>
  <c r="BT248" i="1"/>
  <c r="BF249" i="1"/>
  <c r="BT249" i="1"/>
  <c r="BF250" i="1"/>
  <c r="BT250" i="1"/>
  <c r="BT251" i="1"/>
  <c r="BF252" i="1"/>
  <c r="BT252" i="1"/>
  <c r="BF253" i="1"/>
  <c r="BT253" i="1"/>
  <c r="BF254" i="1"/>
  <c r="BT254" i="1"/>
  <c r="BF255" i="1"/>
  <c r="BT255" i="1"/>
  <c r="BF256" i="1"/>
  <c r="BT256" i="1"/>
  <c r="BF257" i="1"/>
  <c r="BT257" i="1"/>
  <c r="BF258" i="1"/>
  <c r="BT258" i="1"/>
  <c r="BT259" i="1"/>
  <c r="BF260" i="1"/>
  <c r="BT260" i="1"/>
  <c r="BF261" i="1"/>
  <c r="BT261" i="1"/>
  <c r="BF262" i="1"/>
  <c r="BT262" i="1"/>
  <c r="BF263" i="1"/>
  <c r="BT263" i="1"/>
  <c r="BF264" i="1"/>
  <c r="BT264" i="1"/>
  <c r="BF265" i="1"/>
  <c r="BT265" i="1"/>
  <c r="BF266" i="1"/>
  <c r="BT266" i="1"/>
  <c r="BF267" i="1"/>
  <c r="BT267" i="1"/>
  <c r="BF268" i="1"/>
  <c r="BT268" i="1"/>
  <c r="BF269" i="1"/>
  <c r="BT269"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T289"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T306" i="1"/>
  <c r="BF307" i="1"/>
  <c r="BT307" i="1"/>
  <c r="BF308" i="1"/>
  <c r="BT308" i="1"/>
  <c r="BF309" i="1"/>
  <c r="BT309" i="1"/>
  <c r="BF310" i="1"/>
  <c r="BT310" i="1"/>
  <c r="BF311" i="1"/>
  <c r="BT311" i="1"/>
  <c r="BF312" i="1"/>
  <c r="BT312" i="1"/>
  <c r="BF313" i="1"/>
  <c r="BT313" i="1"/>
  <c r="BF314" i="1"/>
  <c r="BT314" i="1"/>
  <c r="BF315" i="1"/>
  <c r="BT315" i="1"/>
  <c r="BT316" i="1"/>
  <c r="BT317" i="1"/>
  <c r="BT318" i="1"/>
  <c r="BT319" i="1"/>
  <c r="BF320" i="1"/>
  <c r="BT320" i="1"/>
  <c r="BF321" i="1"/>
  <c r="BT321" i="1"/>
  <c r="BF322" i="1"/>
  <c r="BT322" i="1"/>
  <c r="BF323" i="1"/>
  <c r="BT323" i="1"/>
  <c r="BF324" i="1"/>
  <c r="BT324" i="1"/>
  <c r="BF325" i="1"/>
  <c r="BT325" i="1"/>
  <c r="BF326" i="1"/>
  <c r="BT326" i="1"/>
  <c r="BT327"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T353" i="1"/>
  <c r="BF354" i="1"/>
  <c r="BT354" i="1"/>
  <c r="BF355" i="1"/>
  <c r="BT355" i="1"/>
  <c r="BF356" i="1"/>
  <c r="BT356" i="1"/>
  <c r="BF357" i="1"/>
  <c r="BT357"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T371" i="1"/>
  <c r="BF372" i="1"/>
  <c r="BT372" i="1"/>
  <c r="BF373" i="1"/>
  <c r="BT373" i="1"/>
  <c r="BT374" i="1"/>
  <c r="BF375" i="1"/>
  <c r="BT375" i="1"/>
  <c r="BT376" i="1"/>
  <c r="BF377" i="1"/>
  <c r="BT377" i="1"/>
  <c r="BT378" i="1"/>
  <c r="BF379" i="1"/>
  <c r="BT379" i="1"/>
  <c r="BF380" i="1"/>
  <c r="BT380" i="1"/>
  <c r="BF381" i="1"/>
  <c r="BT381" i="1"/>
  <c r="BT382" i="1"/>
  <c r="BF383" i="1"/>
  <c r="BT383" i="1"/>
  <c r="BF384" i="1"/>
  <c r="BT384" i="1"/>
  <c r="BF385" i="1"/>
  <c r="BT385" i="1"/>
  <c r="BF386" i="1"/>
  <c r="BT386" i="1"/>
  <c r="BF387" i="1"/>
  <c r="BT387" i="1"/>
  <c r="BF388" i="1"/>
  <c r="BT388" i="1"/>
  <c r="BT389" i="1"/>
  <c r="BF390" i="1"/>
  <c r="BT390" i="1"/>
  <c r="BF391" i="1"/>
  <c r="BT391" i="1"/>
  <c r="BF392" i="1"/>
  <c r="BT392" i="1"/>
  <c r="BT393" i="1"/>
  <c r="BF394" i="1"/>
  <c r="BT394" i="1"/>
  <c r="BF395" i="1"/>
  <c r="BT395" i="1"/>
  <c r="BF396" i="1"/>
  <c r="BT396" i="1"/>
  <c r="BF397" i="1"/>
  <c r="BT397" i="1"/>
  <c r="BF398" i="1"/>
  <c r="BT398" i="1"/>
  <c r="BT399" i="1"/>
  <c r="BF400" i="1"/>
  <c r="BT400" i="1"/>
  <c r="BF401" i="1"/>
  <c r="BT401" i="1"/>
  <c r="BF402" i="1"/>
  <c r="BT402" i="1"/>
  <c r="BF403" i="1"/>
  <c r="BT403" i="1"/>
  <c r="BF404" i="1"/>
  <c r="BT404" i="1"/>
  <c r="BF405" i="1"/>
  <c r="BT405" i="1"/>
  <c r="BF406" i="1"/>
  <c r="BT406"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T429" i="1"/>
  <c r="BT430" i="1"/>
  <c r="BT431" i="1"/>
  <c r="BT432" i="1"/>
  <c r="BF433" i="1"/>
  <c r="BT433" i="1"/>
  <c r="BF434" i="1"/>
  <c r="BT434" i="1"/>
  <c r="BF435" i="1"/>
  <c r="BT435" i="1"/>
  <c r="BF436" i="1"/>
  <c r="BT436" i="1"/>
  <c r="BF437" i="1"/>
  <c r="BT437" i="1"/>
  <c r="BF438" i="1"/>
  <c r="BT438" i="1"/>
  <c r="BF439" i="1"/>
  <c r="BT439" i="1"/>
  <c r="BF440" i="1"/>
  <c r="BT440"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T471" i="1"/>
  <c r="BT472" i="1"/>
  <c r="BF473" i="1"/>
  <c r="BT473" i="1"/>
  <c r="BT474" i="1"/>
  <c r="BF475" i="1"/>
  <c r="BT475" i="1"/>
  <c r="BF476" i="1"/>
  <c r="BT476"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T493" i="1"/>
  <c r="BF494" i="1"/>
  <c r="BT494" i="1"/>
  <c r="BT495" i="1"/>
  <c r="BT496" i="1"/>
  <c r="BT497" i="1"/>
  <c r="BT498" i="1"/>
  <c r="BT499" i="1"/>
  <c r="BT500"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T526" i="1"/>
  <c r="BT527" i="1"/>
  <c r="BF528" i="1"/>
  <c r="BT528" i="1"/>
  <c r="BF529" i="1"/>
  <c r="BT529" i="1"/>
  <c r="BF530" i="1"/>
  <c r="BT530" i="1"/>
  <c r="BF531" i="1"/>
  <c r="BT531" i="1"/>
  <c r="BT532" i="1"/>
  <c r="BF533" i="1"/>
  <c r="BT533" i="1"/>
  <c r="BF534" i="1"/>
  <c r="BT534"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T551"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T584" i="1"/>
  <c r="BF585" i="1"/>
  <c r="BT585" i="1"/>
  <c r="BF586" i="1"/>
  <c r="BT586" i="1"/>
  <c r="BF587" i="1"/>
  <c r="BT587" i="1"/>
  <c r="BT588" i="1"/>
  <c r="BF589" i="1"/>
  <c r="BT589" i="1"/>
  <c r="BF590" i="1"/>
  <c r="BT590" i="1"/>
  <c r="BF591" i="1"/>
  <c r="BT591" i="1"/>
  <c r="BF592" i="1"/>
  <c r="BT592" i="1"/>
  <c r="BT593" i="1"/>
  <c r="BF594" i="1"/>
  <c r="BT594" i="1"/>
  <c r="BF595" i="1"/>
  <c r="BT595" i="1"/>
  <c r="BF596" i="1"/>
  <c r="BT596" i="1"/>
  <c r="BT597" i="1"/>
  <c r="BT598" i="1"/>
  <c r="BT599" i="1"/>
  <c r="BF600" i="1"/>
  <c r="BT600" i="1"/>
  <c r="BF601" i="1"/>
  <c r="BT601" i="1"/>
  <c r="BF602" i="1"/>
  <c r="BT602" i="1"/>
  <c r="BT603" i="1"/>
  <c r="BT604" i="1"/>
  <c r="BT605" i="1"/>
  <c r="BF606" i="1"/>
  <c r="BT606" i="1"/>
  <c r="BF607" i="1"/>
  <c r="BT607" i="1"/>
  <c r="BF608" i="1"/>
  <c r="BT608" i="1"/>
  <c r="BF609" i="1"/>
  <c r="BT609" i="1"/>
  <c r="BF610" i="1"/>
  <c r="BT610" i="1"/>
  <c r="BF611" i="1"/>
  <c r="BT611" i="1"/>
  <c r="BF612" i="1"/>
  <c r="BT612" i="1"/>
  <c r="BF613" i="1"/>
  <c r="BT613" i="1"/>
  <c r="BF614" i="1"/>
  <c r="BT614" i="1"/>
  <c r="BF615" i="1"/>
  <c r="BT615" i="1"/>
  <c r="BT616" i="1"/>
  <c r="BF617" i="1"/>
  <c r="BT617" i="1"/>
  <c r="BF618" i="1"/>
  <c r="BT618" i="1"/>
  <c r="BF619" i="1"/>
  <c r="BT619" i="1"/>
  <c r="BT620" i="1"/>
  <c r="BF621" i="1"/>
  <c r="BT621" i="1"/>
  <c r="BF622" i="1"/>
  <c r="BT622" i="1"/>
  <c r="BF623" i="1"/>
  <c r="BT623" i="1"/>
  <c r="BF624" i="1"/>
  <c r="BT624" i="1"/>
  <c r="BF625" i="1"/>
  <c r="BT625" i="1"/>
  <c r="BT626" i="1"/>
  <c r="BF627" i="1"/>
  <c r="BT627" i="1"/>
  <c r="BF628" i="1"/>
  <c r="BT628" i="1"/>
  <c r="BF629" i="1"/>
  <c r="BT629" i="1"/>
  <c r="BF630" i="1"/>
  <c r="BT630" i="1"/>
  <c r="BF631" i="1"/>
  <c r="BT631" i="1"/>
  <c r="BF632" i="1"/>
  <c r="BT632" i="1"/>
  <c r="BF633" i="1"/>
  <c r="BT633"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T648" i="1"/>
  <c r="BF649" i="1"/>
  <c r="BT649" i="1"/>
  <c r="BF650" i="1"/>
  <c r="BT650" i="1"/>
  <c r="BF651" i="1"/>
  <c r="BT651" i="1"/>
  <c r="BF652" i="1"/>
  <c r="BT652" i="1"/>
  <c r="BF653" i="1"/>
  <c r="BT653" i="1"/>
  <c r="BF654" i="1"/>
  <c r="BT654" i="1"/>
  <c r="BF655" i="1"/>
  <c r="BT655" i="1"/>
  <c r="BF656" i="1"/>
  <c r="BT656" i="1"/>
  <c r="BF657" i="1"/>
  <c r="BT657" i="1"/>
  <c r="BF658" i="1"/>
  <c r="BT658" i="1"/>
  <c r="BT659" i="1"/>
  <c r="BF660" i="1"/>
  <c r="BT660" i="1"/>
  <c r="BT661" i="1"/>
  <c r="BT662" i="1"/>
  <c r="BF663" i="1"/>
  <c r="BT663" i="1"/>
  <c r="BF664" i="1"/>
  <c r="BT664" i="1"/>
  <c r="BT665" i="1"/>
  <c r="BT666" i="1"/>
  <c r="BT667" i="1"/>
  <c r="BT668" i="1"/>
  <c r="BT669" i="1"/>
  <c r="BT670" i="1"/>
  <c r="BT671" i="1"/>
  <c r="BT672" i="1"/>
  <c r="BT673" i="1"/>
  <c r="BT674" i="1"/>
  <c r="BT675" i="1"/>
  <c r="BT676" i="1"/>
  <c r="BT677" i="1"/>
  <c r="BF678" i="1"/>
  <c r="BT678" i="1"/>
  <c r="BF679" i="1"/>
  <c r="BT679" i="1"/>
  <c r="BF680" i="1"/>
  <c r="BT680" i="1"/>
  <c r="BF681" i="1"/>
  <c r="BT681" i="1"/>
  <c r="BF682" i="1"/>
  <c r="BT682" i="1"/>
  <c r="BF683" i="1"/>
  <c r="BT683" i="1"/>
  <c r="BF684" i="1"/>
  <c r="BT684" i="1"/>
  <c r="BT685" i="1"/>
  <c r="BF686" i="1"/>
  <c r="BT686" i="1"/>
  <c r="BT687" i="1"/>
  <c r="BF688" i="1"/>
  <c r="BT688" i="1"/>
  <c r="BF689" i="1"/>
  <c r="BT689" i="1"/>
  <c r="BF690" i="1"/>
  <c r="BT690"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T705" i="1"/>
  <c r="BF706" i="1"/>
  <c r="BT706" i="1"/>
  <c r="BT707" i="1"/>
  <c r="BF708" i="1"/>
  <c r="BT708" i="1"/>
  <c r="BF709" i="1"/>
  <c r="BT709" i="1"/>
  <c r="BT710" i="1"/>
  <c r="BF711" i="1"/>
  <c r="BT711" i="1"/>
  <c r="BF712" i="1"/>
  <c r="BT712" i="1"/>
  <c r="BF713" i="1"/>
  <c r="BT713"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T733" i="1"/>
  <c r="BT734" i="1"/>
  <c r="BT735" i="1"/>
  <c r="BF736" i="1"/>
  <c r="BT736" i="1"/>
  <c r="BF737" i="1"/>
  <c r="BT737" i="1"/>
  <c r="BF738" i="1"/>
  <c r="BT738" i="1"/>
  <c r="BF739" i="1"/>
  <c r="BT739" i="1"/>
  <c r="BF740" i="1"/>
  <c r="BT740" i="1"/>
  <c r="BT741" i="1"/>
  <c r="BT742" i="1"/>
  <c r="BF743" i="1"/>
  <c r="BT743" i="1"/>
  <c r="BT744" i="1"/>
  <c r="BF745" i="1"/>
  <c r="BT745" i="1"/>
  <c r="BF746" i="1"/>
  <c r="BT746" i="1"/>
  <c r="BF747" i="1"/>
  <c r="BT747" i="1"/>
  <c r="BF748" i="1"/>
  <c r="BT748" i="1"/>
  <c r="BF749" i="1"/>
  <c r="BT749" i="1"/>
  <c r="BF750" i="1"/>
  <c r="BT750"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T767" i="1"/>
  <c r="BF768" i="1"/>
  <c r="BT768" i="1"/>
  <c r="BT769" i="1"/>
  <c r="BF770" i="1"/>
  <c r="BT770" i="1"/>
  <c r="BT771" i="1"/>
  <c r="BF772" i="1"/>
  <c r="BT772" i="1"/>
  <c r="BF773" i="1"/>
  <c r="BT773"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T813" i="1"/>
  <c r="BF814" i="1"/>
  <c r="BT814" i="1"/>
  <c r="BF815" i="1"/>
  <c r="BT815" i="1"/>
  <c r="BF816" i="1"/>
  <c r="BT816"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T847" i="1"/>
  <c r="BF848" i="1"/>
  <c r="BT848" i="1"/>
  <c r="BF849" i="1"/>
  <c r="BT849" i="1"/>
  <c r="BF850" i="1"/>
  <c r="BT850" i="1"/>
  <c r="BF851" i="1"/>
  <c r="BT851" i="1"/>
  <c r="BF852" i="1"/>
  <c r="BT852" i="1"/>
  <c r="BF853" i="1"/>
  <c r="BT853" i="1"/>
  <c r="BF854" i="1"/>
  <c r="BT854" i="1"/>
  <c r="BF855" i="1"/>
  <c r="BT855" i="1"/>
  <c r="BF856" i="1"/>
  <c r="BT856" i="1"/>
  <c r="BF857" i="1"/>
  <c r="BT857"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T878" i="1"/>
  <c r="BF879" i="1"/>
  <c r="BT879" i="1"/>
  <c r="BF880" i="1"/>
  <c r="BT880" i="1"/>
  <c r="BF881" i="1"/>
  <c r="BT881" i="1"/>
  <c r="BF882" i="1"/>
  <c r="BT882" i="1"/>
  <c r="BF883" i="1"/>
  <c r="BT883" i="1"/>
  <c r="BF884" i="1"/>
  <c r="BT884" i="1"/>
  <c r="BF885" i="1"/>
  <c r="BT885" i="1"/>
  <c r="BF886" i="1"/>
  <c r="BT886" i="1"/>
  <c r="BF887" i="1"/>
  <c r="BT887" i="1"/>
  <c r="BT888" i="1"/>
  <c r="BT889"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T910" i="1"/>
  <c r="BT911" i="1"/>
  <c r="BT912" i="1"/>
  <c r="BT913" i="1"/>
  <c r="BT914" i="1"/>
  <c r="BT915" i="1"/>
  <c r="BT916" i="1"/>
  <c r="BT917" i="1"/>
  <c r="BT918" i="1"/>
  <c r="BT919" i="1"/>
  <c r="BT920" i="1"/>
  <c r="BT921" i="1"/>
  <c r="BT922" i="1"/>
  <c r="BT923" i="1"/>
  <c r="BT924" i="1"/>
  <c r="BT925" i="1"/>
  <c r="BT926" i="1"/>
  <c r="BT927" i="1"/>
  <c r="BT928" i="1"/>
  <c r="BT929" i="1"/>
  <c r="BT930" i="1"/>
  <c r="BT931" i="1"/>
  <c r="BF932" i="1"/>
  <c r="BT932" i="1"/>
  <c r="BF933" i="1"/>
  <c r="BT933" i="1"/>
  <c r="BF934" i="1"/>
  <c r="BT934" i="1"/>
  <c r="BF935" i="1"/>
  <c r="BT935" i="1"/>
  <c r="BF936" i="1"/>
  <c r="BT936" i="1"/>
  <c r="BF937" i="1"/>
  <c r="BT937" i="1"/>
  <c r="BF938" i="1"/>
  <c r="BT938" i="1"/>
  <c r="BF939" i="1"/>
  <c r="BT939" i="1"/>
  <c r="BT940" i="1"/>
  <c r="BF941" i="1"/>
  <c r="BT941" i="1"/>
  <c r="BF942" i="1"/>
  <c r="BT942" i="1"/>
  <c r="BF943" i="1"/>
  <c r="BT943" i="1"/>
  <c r="BF944" i="1"/>
  <c r="BT944" i="1"/>
  <c r="BT945" i="1"/>
  <c r="BF946" i="1"/>
  <c r="BT946" i="1"/>
  <c r="BF947" i="1"/>
  <c r="BT947" i="1"/>
  <c r="BT948" i="1"/>
  <c r="BF949" i="1"/>
  <c r="BT949" i="1"/>
  <c r="BT950" i="1"/>
  <c r="BF951" i="1"/>
  <c r="BT951" i="1"/>
  <c r="BT952" i="1"/>
  <c r="BF953" i="1"/>
  <c r="BT953" i="1"/>
  <c r="BF954" i="1"/>
  <c r="BT954" i="1"/>
  <c r="BF955" i="1"/>
  <c r="BT955" i="1"/>
  <c r="BT956" i="1"/>
  <c r="BF957" i="1"/>
  <c r="BT957" i="1"/>
  <c r="BF958" i="1"/>
  <c r="BT958"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T998" i="1"/>
  <c r="BT999" i="1"/>
  <c r="BF1000" i="1"/>
  <c r="BT1000" i="1"/>
  <c r="BF1001" i="1"/>
  <c r="BT1001" i="1"/>
</calcChain>
</file>

<file path=xl/sharedStrings.xml><?xml version="1.0" encoding="utf-8"?>
<sst xmlns="http://schemas.openxmlformats.org/spreadsheetml/2006/main" count="59455" uniqueCount="12626">
  <si>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</si>
  <si>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</si>
  <si>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</si>
  <si>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</si>
  <si>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</si>
  <si>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</si>
  <si>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</si>
  <si>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</si>
  <si>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</si>
  <si>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</si>
  <si>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</si>
  <si>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</si>
  <si>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</si>
  <si>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</si>
  <si>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</si>
  <si>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</si>
  <si>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</si>
  <si>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</si>
  <si>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</si>
  <si>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</si>
  <si>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</si>
  <si>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</si>
  <si>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</si>
  <si>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</si>
  <si>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</si>
  <si>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</si>
  <si>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</si>
  <si>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</si>
  <si>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</si>
  <si>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</si>
  <si>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</si>
  <si>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</si>
  <si>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</si>
  <si>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</si>
  <si>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</si>
  <si>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</si>
  <si>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</si>
  <si>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</si>
  <si>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</si>
  <si>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</si>
  <si>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</si>
  <si>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</si>
  <si>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</si>
  <si>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</si>
  <si>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</si>
  <si>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</si>
  <si>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</si>
  <si>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</si>
  <si>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</si>
  <si>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</si>
  <si>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</si>
  <si>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</si>
  <si>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</si>
  <si>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</si>
  <si>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</si>
  <si>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</si>
  <si>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</si>
  <si>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</si>
  <si>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</si>
  <si>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</si>
  <si>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</si>
  <si>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</si>
  <si>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</si>
  <si>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</si>
  <si>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</si>
  <si>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</si>
  <si>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</si>
  <si>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</si>
  <si>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</si>
  <si>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</si>
  <si>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</si>
  <si>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</si>
  <si>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</si>
  <si>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Lieder, M; Heinemann, G</t>
  </si>
  <si>
    <t/>
  </si>
  <si>
    <t>A summertime Antarctic mesocyclone event over the Southern Pacific during FROST SOP-3: A mesoscale analysis using AVHRR, SSM/I, ERS, and numerical model data</t>
  </si>
  <si>
    <t>WEATHER AND FORECASTING</t>
  </si>
  <si>
    <t>English</t>
  </si>
  <si>
    <t>Article</t>
  </si>
  <si>
    <t>WINTERTIME POLAR LOW; WEDDELL SEA REGION; RETRIEVALS; TOVS; ALGORITHM; DYNAMICS; OCEAN; RAIN</t>
  </si>
  <si>
    <t>The development of three summertime mesoscale cyclones (MCs) over the northern Amundsen and Bellingshausen Seas from 10 to 12 January 1995 (during FROST SOP-3) is studied by means of AVHRR data, ERS and SSM/I retrievals, and mesoscale numerical model data. The most pronounced MC is investigated in derail. it had a diameter of about 800 km, a lifetime of more than 24 h, and reached the intensity of a polar low. The developments take place far away from the sea-ice front or topography. Thr MCs are detected as cyclonic cloud signatures in the;AVHRR imagery, and SSM/I retrievals show a distinct mesoscale signal in the fields of cloud liquid water, wind speed, and integrated water vapor (IWV). The frontal structure of the most intense MC is depicted by high IWV gradients and a large near-surface wind shear. The collocation of ERS- and SSM/I-derived wind speeds shows good agreement (bias, 1.1 m s(-1); std dev, 1.2 m s(-1)). ERS-derived wind vectors give no insight into the structure of the MCs, because of missing direct overpasses over the MCs by the narrow ERS scatterometer swaths, but they are used to validate numerical simulations. The numerical simulations using the mesoscale Norwegian Limited Area Model (NORLAM) show two of the MCs as short-wave baroclinic developments triggered by an upper-level trough, while a less significant third MC is not simulated by the model. In contrast to the satellite retrievals, the simulations give insight into the three-dimensional structure of the MCs. Model results are validated using satellite retrievals and some few available in situ observations. This validation study shows the good quality of the numerical simulations for the IWV and the near-surface wind speed from SSM/I as well as for the near-surface wind vector from ERS over the simulation rime of 36 h. The differences between ERS and NORLAM wind vectors are 1.1 +/- 2.5 m s(-1) (mean bias +/- std dev) and -3 +/- 25 degrees for wind speed and direction, respectively. The validation using SSM/I retrievals yields a mean bias of 0.3 m s(-1) (std dev, 2.9 m s(-1)) for the wind speed, and of -2.5 kg m(-2) (std dev, 2.9 kg m(-2)) for the IWV.</t>
  </si>
  <si>
    <t>Univ Bonn, Inst Meteorol, D-53121 Bonn, Germany</t>
  </si>
  <si>
    <t>University of Bonn</t>
  </si>
  <si>
    <t>Heinemann, G (corresponding author), Univ Bonn, Inst Meteorol, Hugel 20, D-53121 Bonn, Germany.</t>
  </si>
  <si>
    <t>gheinemann@uni-bonn.de</t>
  </si>
  <si>
    <t>Heinemann, Gunther/0000-0002-4831-9016</t>
  </si>
  <si>
    <t>AMER METEOROLOGICAL SOC</t>
  </si>
  <si>
    <t>BOSTON</t>
  </si>
  <si>
    <t>45 BEACON ST, BOSTON, MA 02108-3693 USA</t>
  </si>
  <si>
    <t>0882-8156</t>
  </si>
  <si>
    <t>1520-0434</t>
  </si>
  <si>
    <t>WEATHER FORECAST</t>
  </si>
  <si>
    <t>Weather Forecast.</t>
  </si>
  <si>
    <t>DEC</t>
  </si>
  <si>
    <t>10.1175/1520-0434(1999)014&lt;0893:ASAMEO&gt;2.0.CO;2</t>
  </si>
  <si>
    <t>Meteorology &amp; Atmospheric Sciences</t>
  </si>
  <si>
    <t>Science Citation Index Expanded (SCI-EXPANDED)</t>
  </si>
  <si>
    <t>267VU</t>
  </si>
  <si>
    <t>hybrid</t>
  </si>
  <si>
    <t>2024-04-21</t>
  </si>
  <si>
    <t>WOS:000084380600008</t>
  </si>
  <si>
    <t>Hutchinson, HA; Dixon, TS; Adams, N; Jacka, K; Pendlebury, SF; Marsh, L; Cowled, LH; Phillpot, HR; Pook, MJ; Turner, J</t>
  </si>
  <si>
    <t>On the reanalysis of Southern Hemisphere charts for the FROST project</t>
  </si>
  <si>
    <t>OSCILLATION; VARIABILITY; REGION; OCEAN; FLOW</t>
  </si>
  <si>
    <t>An overview is presented of the analysis procedures and problems encountered in the FROST reanalysis of weather charts poleward of latitude 50 degrees S carried out in Hot;art by the Australian Bureau of Meteorology, with advice from the Institute of Antarctic and Southern Ocean Studies, A summary of findings as a result of the FROST exercise is given and some topics for research projects-in the future are identified.</t>
  </si>
  <si>
    <t>Bur Meteorol, Tasmania &amp; Antarctica Reg Off, Hobart, Tas 7001, Australia; Univ Tasmania, Inst Antarctic &amp; So Ocean Studies, Hobart, Tas 7001, Australia; British Antarctic Survey, Cambridge CB3 0ET, England</t>
  </si>
  <si>
    <t>Bureau of Meteorology - Australia; University of Tasmania; UK Research &amp; Innovation (UKRI); Natural Environment Research Council (NERC); NERC British Antarctic Survey</t>
  </si>
  <si>
    <t>Hutchinson, HA (corresponding author), Bur Meteorol, Tasmania &amp; Antarctica Reg Off, GPO Box 727G, Hobart, Tas 7001, Australia.</t>
  </si>
  <si>
    <t>Pook, Michael J/A-3810-2012</t>
  </si>
  <si>
    <t>10.1175/1520-0434(1999)014&lt;0909:OTROSH&gt;2.0.CO;2</t>
  </si>
  <si>
    <t>WOS:000084380600009</t>
  </si>
  <si>
    <t>Pook, M; Cowled, L</t>
  </si>
  <si>
    <t>On the detection of weather systems over the Antarctic interior in the FROST analyses</t>
  </si>
  <si>
    <t>SOUTHERN-HEMISPHERE; CLIMATOLOGY</t>
  </si>
  <si>
    <t>The first Special Observing Period (SOP-1) of the Antarctic First Regional Observing Study of the Troposphere (FROST) was completed in July 1994 and provided a unique opportunity to assemble a comprehensive dataset for the Antarctic region. Data obtained from this intensive collection effort have been undergoing analysis at several centers around the world, including Hobart in Australia. The synoptic analysis program for SOP-1 has been completed in Hobart and, additionally, a reanalysis of a special week (22-28 July) has been undertaken, enabling 500-hPa contour fields to be constructed for the region south of 50 degrees S. Results of these analyses for continental Antarctica are presented and comparisons made with operational analyses from numerical models. Satellite imagery from the Defense Meteorological Satellite Program (DMSP) was employed in the special week reanalysis and has provided evidence of several vortices that moved southward over East Antarctica during the latter part of July 1994 and appeared to decay over the high plateau. Observations from the network of automatic weather stations (AWSs) over East Antarctica were combined with satellite imagery to infer the movement inland of these cyclones. It is demonstrated that broadscale and synoptic-scale influences contributed to the migration of cyclones over East Antarctica during SOP-1 and, in particular, an association is established between the incidence of atmospheric blocking activity in the Tasman Sea and the inland penetration of lows. The early identification of circulation features in satellite cloud imagery when a favorable broadscale environment has been established and the interpretation of anomaly fields using Antarctic AWSs offer possibilities for the better prediction of the tracks of these small but significant systems.</t>
  </si>
  <si>
    <t>Univ Tasmania, Antarctic CRC, Hobart, Tas 7001, Australia; Univ Tasmania, Inst Antarctic &amp; So Ocean Studies, Hobart, Tas 7001, Australia; Bur Meteorol, Hobart, Tas, Australia</t>
  </si>
  <si>
    <t>University of Tasmania; University of Tasmania; Bureau of Meteorology - Australia</t>
  </si>
  <si>
    <t>Pook, M (corresponding author), Univ Tasmania, Antarctic CRC, GPO Box 252-80, Hobart, Tas 7001, Australia.</t>
  </si>
  <si>
    <t>10.1175/1520-0434(1999)014&lt;0920:OTDOWS&gt;2.0.CO;2</t>
  </si>
  <si>
    <t>WOS:000084380600010</t>
  </si>
  <si>
    <t>Grongaard, A; Pugh, PJA; McInnes, SJ</t>
  </si>
  <si>
    <t>Tardigrades, and other cryoconite biota, on the Greenland Ice Sheet</t>
  </si>
  <si>
    <t>ZOOLOGISCHER ANZEIGER</t>
  </si>
  <si>
    <t>Article; Proceedings Paper</t>
  </si>
  <si>
    <t>7th International Symposium on Tardigrada</t>
  </si>
  <si>
    <t>SEP 04-07, 1997</t>
  </si>
  <si>
    <t>DUSSELDORF, GERMANY</t>
  </si>
  <si>
    <t>Arctic; glacier; moulin; Rotifera; Tardigrada</t>
  </si>
  <si>
    <t>FRESH-WATER TARDIGRADES; TERRESTRIAL; HOLES</t>
  </si>
  <si>
    <t>Cryoconite holes, supraglacial ponds and moulins of the Greenland Ice Sheet were surveyed for microbiota and meiofauna. These habitats are colonised by depauperate communities of widespread/cosmopolitan microbes, microalgae, rotifers and tardigrades. All colonists are generalists, pre-adapted to cope with the extreme environmental conditions of, and are effectively stranded in, cryoconite deposits. Cryoconite biota may seed similar local habitats, though it is unlikely that they can escape to colonise new ones, and so they survive in situ until they are ultimately washed into the glacial drainage system.</t>
  </si>
  <si>
    <t>Direktoratet Miljo Natur, Gronlands Hjemmestyre, Namminersornerullut Oqartussat, Nuuk, Greenland; British Antarctic Survey, NERC, Cambridge CB3 0ET, England</t>
  </si>
  <si>
    <t>UK Research &amp; Innovation (UKRI); Natural Environment Research Council (NERC); NERC British Antarctic Survey</t>
  </si>
  <si>
    <t>Grongaard, A (corresponding author), Direktoratet Miljo Natur, Gronlands Hjemmestyre, Namminersornerullut Oqartussat, Nuuk, Greenland.</t>
  </si>
  <si>
    <t>McInnes, Sandra/AAN-4773-2020</t>
  </si>
  <si>
    <t>McInnes, Sandra/0000-0003-3403-9379</t>
  </si>
  <si>
    <t>GUSTAV FISCHER VERLAG</t>
  </si>
  <si>
    <t>JENA</t>
  </si>
  <si>
    <t>VILLENGANG 2, D-07745 JENA, GERMANY</t>
  </si>
  <si>
    <t>0044-5231</t>
  </si>
  <si>
    <t>ZOOL ANZ</t>
  </si>
  <si>
    <t>Zool. Anz.</t>
  </si>
  <si>
    <t>3-4</t>
  </si>
  <si>
    <t>Zoology</t>
  </si>
  <si>
    <t>Conference Proceedings Citation Index - Science (CPCI-S); Science Citation Index Expanded (SCI-EXPANDED)</t>
  </si>
  <si>
    <t>276VR</t>
  </si>
  <si>
    <t>WOS:000084898500010</t>
  </si>
  <si>
    <t>McInnes, SJ; Pugh, PJA</t>
  </si>
  <si>
    <t>Zonation in Antarctic lake-dwelling benthic meiofauna, with emphasis on the Tardigrada</t>
  </si>
  <si>
    <t>Antarctica; benthos; depth transect; lakes; Rotifera; Tardigrada; Signy Island</t>
  </si>
  <si>
    <t>SIGNY-ISLAND; PHYTOPLANKTON; MICHIGAN; HABITATS; FRESH</t>
  </si>
  <si>
    <t>Meiofaunal diversity in a lake on Antarctic Signy Island is limited, but low predation pressure and an abundant food source have allowed large populations of benthos and nektobenthos to establish. Some meiobenthonts have distinct depth-related associations, with 'preferences' for either the shallows or the deeper sites. A few animals produced anoxia-tolerant/resistant stages that over-wintered in anoxic deep water but were probably re-circulated to the lake shallows in summer by wind-induced mixing.</t>
  </si>
  <si>
    <t>British Antarctic Survey, NERC, Cambridge CB3 0ET, England</t>
  </si>
  <si>
    <t>British Antarctic Survey, NERC, High Cross,Madingley Rd, Cambridge CB3 0ET, England.</t>
  </si>
  <si>
    <t>ELSEVIER GMBH</t>
  </si>
  <si>
    <t>MUNICH</t>
  </si>
  <si>
    <t>HACKERBRUCKE 6, 80335 MUNICH, GERMANY</t>
  </si>
  <si>
    <t>Science Citation Index Expanded (SCI-EXPANDED); Conference Proceedings Citation Index - Science (CPCI-S)</t>
  </si>
  <si>
    <t>WOS:000084898500016</t>
  </si>
  <si>
    <t>Miller, WR; Kristensen, RM</t>
  </si>
  <si>
    <t>Tardigrades of the Australian Antarctic:: A new species of the marine genus Echiniscoides from Macquarie Island, Subantarctica</t>
  </si>
  <si>
    <t>Macquarie Island; Tardigrada; Subantarctic</t>
  </si>
  <si>
    <t>EAST ANTARCTICA; TERRITORIES</t>
  </si>
  <si>
    <t>A new species of marine heterotardigrade, Echinisoides horningi sp. n. is described from samples collected during the 1977-78 Australian Museum Expedition to Sub-Antarctic Macquarie Island. The genus Echiniscoides is usually found in littoral habitats and associated with the algae Enteromorpha or on barnacles covered with algae. Recently new records have extended the distribution of Echiniscoides, and the genus is found also subtidal in the sandy detritus covered with green algae or in the calcareous tubes of polychaetes. This new species was collected from a sample of the lichen Caloplaca sp. in the supralittoral zone, a more terrestrial habitat than other members of the genus, except for one dubious record from a soil sample at an altitude of 1000 m above sea level in the former Belgian Congo. The lichens on Macquarie Island were exposed to heavy sea spray and may be the ingredients that foster this unique colonization of a Subantarctic terrestrial habitat.</t>
  </si>
  <si>
    <t>Chestnut Hill Coll, Dept Biol, Philadelphia, PA 19118 USA; Univ Copenhagen, Zool Museum, DK-2100 Copenhagen O, Denmark</t>
  </si>
  <si>
    <t>University of Copenhagen</t>
  </si>
  <si>
    <t>Miller, WR (corresponding author), Chestnut Hill Coll, Dept Biol, 9601 Germantown Ave, Philadelphia, PA 19118 USA.</t>
  </si>
  <si>
    <t>Kristensen, Reinhardt Mobjerg/A-8772-2013</t>
  </si>
  <si>
    <t>Kristensen, Reinhardt Mobjerg/0000-0001-9549-1188</t>
  </si>
  <si>
    <t>WOS:000084898500017</t>
  </si>
  <si>
    <t>Miller, WR; Claxton, SK; Heatwole, HF</t>
  </si>
  <si>
    <t>Tardigrades of the Australian Antarctic territories:: Males in the genus Echiniscus (Tardigrada: Heterotardigrada)</t>
  </si>
  <si>
    <t>evolution; sexual dimorphism; dispersal; plesiomorphic; parthenogenesis</t>
  </si>
  <si>
    <t>PARTHENOGENESIS; RAMAZZOTTIUS</t>
  </si>
  <si>
    <t>Although males in the genus Echiniscus were unknown until 1987, several reports of their occurrence in the Himalayan mountains, Australia, and Antarctica have since appeared. These reports are reviewed together with further observations on bisexual populations from the Prince Charles Mountains and the Mawson coast in East Antarctica and Subantarctic Heard Island. The males reported were abundant and similar in size to the females. The observation is made that the locations of bisexual Echiniscus populations lie on the fissures of the supercontinent Gondwana. The presence of large and abundant males is considered a plesiomorphic condition suggesting that these populations may point toward the evolutionary origin of the genera. The results are related to Antarctic wind dynamics and an explanation for current patterns of dispersion of the genus Echiniscus is advanced.</t>
  </si>
  <si>
    <t>Chestnut Hill Coll, Dept Biol, Philadelphia, PA 19118 USA; Macquarie Univ, Sch Biol Sci, Ryde, NSW, Australia; N Carolina State Univ, Dept Zool, Raleigh, NC 27695 USA</t>
  </si>
  <si>
    <t>Macquarie University; North Carolina State University</t>
  </si>
  <si>
    <t>Miller, WR (corresponding author), Chestnut Hill Coll, Dept Biol, 9601 Germantown Av, Philadelphia, PA 19118 USA.</t>
  </si>
  <si>
    <t>WOS:000084898500019</t>
  </si>
  <si>
    <t>Visser, PM; Snelder, E; Kop, AJ; Boelen, P; Buma, AGJ; van Duyl, FC</t>
  </si>
  <si>
    <t>Effects of UV radiation on DNA photodamage and production in bacterioplankton in the coastal Caribbean Sea</t>
  </si>
  <si>
    <t>AQUATIC MICROBIAL ECOLOGY</t>
  </si>
  <si>
    <t>UV radiation; bacterioplankton; DNA damage; bacterial production; phytoplankton; carbohydrates</t>
  </si>
  <si>
    <t>ULTRAVIOLET-B RADIATION; PLANKTONIC MARINE-BACTERIA; DISSOLVED ORGANIC-MATTER; SOLAR-RADIATION; ANTARCTIC PHYTOPLANKTON; OZONE DEPLETION; GROWTH; SURFACE; WATERS; DAMAGE</t>
  </si>
  <si>
    <t>This study focuses on the effects of ultraviolet radiation (UVR) on bacterioplankton. The effect of different parts of the sunlight spectrum on the leucine and thymidine incorporation and on the induction of DNA damage in natural bacterial populations in the coastal Caribbean Sea off Curacao were investigated. DNA photodamage in microorganisms and biodosimeters was quantified by the number of cyclobutane dimers (thymine dimers). Increasing DNA damage during the day was found when incubated in full surface solar radiation. When UVBR was excluded no DNA damage was observed, indicating that thymine dimers were only formed by WE radiation. The amount of thymine dimers in the &gt;0.8 mu m fraction was only one-third of the amount of induced thymine dimers in the &lt;0.8 mu m fraction, suggesting that phytoplankton is less sensitive to UV-induced DNA damage than bacterioplankton. Protein and DNA synthesis was inhibited to about 30% of the dark control during the day when exposed to surface solar radiation. In both protein and DNA synthesis a trend was found, with the highest inhibition under full solar radiation. lower inhibition when UVBR was shielded off and the lowest inhibition when UVAR (&lt;375 nm) was also shielded off. The intracellular carbohydrate content of the phytoplankton incubated under full solar radiation was not significantly higher than the dark incubation, while the contents after incubation without UVBR were significantly higher. The carbohydrate content in the samples incubated without UVBR and UVAR (&lt;375 nm) was a little higher than with only UVBR shielded off. In summary, the results show that in the coastal Caribbean Sea UVBR is responsible for DNA damage in bacterio- and phytoplankton, while protein and DNA synthesis in bacterioplankton was inhibited by UVBR, WAR and PAR and carbohydrate synthesis in phytoplankton by both UVBR and UVAR.</t>
  </si>
  <si>
    <t>Netherlands Inst Sea Res, Dept Biol Oceanog, NL-1790 AB Den Burg, Netherlands; CARMABI Ecol Inst, Curacao, Neth Antilles; Univ Groningen, Dept Marine Biol, NL-9750 AA Haren, Netherlands</t>
  </si>
  <si>
    <t>Utrecht University; Royal Netherlands Institute for Sea Research (NIOZ); University of Groningen</t>
  </si>
  <si>
    <t>Visser, PM (corresponding author), Univ Amsterdam, ARISE Microbiol, Nieuwe Achtergracht 127, NL-1018 WS Amsterdam, Netherlands.</t>
  </si>
  <si>
    <t>van Duyl, Fleur C./P-9711-2016; Buma, Anita GJ/E-8372-2015</t>
  </si>
  <si>
    <t>van Duyl, Fleur C./0000-0002-8410-4151; Visser, Petra/0000-0003-3294-1908; Boelen, Peter/0000-0001-7023-4986</t>
  </si>
  <si>
    <t>INTER-RESEARCH</t>
  </si>
  <si>
    <t>OLDENDORF LUHE</t>
  </si>
  <si>
    <t>NORDBUNTE 23, D-21385 OLDENDORF LUHE, GERMANY</t>
  </si>
  <si>
    <t>0948-3055</t>
  </si>
  <si>
    <t>AQUAT MICROB ECOL</t>
  </si>
  <si>
    <t>Aquat. Microb. Ecol.</t>
  </si>
  <si>
    <t>NOV 30</t>
  </si>
  <si>
    <t>10.3354/ame020049</t>
  </si>
  <si>
    <t>Ecology; Marine &amp; Freshwater Biology; Microbiology</t>
  </si>
  <si>
    <t>Environmental Sciences &amp; Ecology; Marine &amp; Freshwater Biology; Microbiology</t>
  </si>
  <si>
    <t>264KT</t>
  </si>
  <si>
    <t>Green Submitted, Bronze</t>
  </si>
  <si>
    <t>WOS:000084181800006</t>
  </si>
  <si>
    <t>Taylor, GK; Randall, DE; Grocott, J</t>
  </si>
  <si>
    <t>On the mechanism of crustal block rotations in the Central Andes - Comment</t>
  </si>
  <si>
    <t>TECTONOPHYSICS</t>
  </si>
  <si>
    <t>Editorial Material</t>
  </si>
  <si>
    <t>PLATE-BOUNDARY ZONE; NORTHERN CHILE; STRUCTURAL CONSTRAINTS; PALEOMAGNETIC EVIDENCE; TECTONIC ROTATIONS; EDGE; PUNA</t>
  </si>
  <si>
    <t>Univ Plymouth, Dept Geol Sci, Plymouth PL4 8AA, Devon, England; British Antarctic Survey, NERC, Cambridge CB3 0ET, England; Kingston Univ, Sch Geol Sci, Kingston upon Thames KT1 2EE, Surrey, England</t>
  </si>
  <si>
    <t>University of Plymouth; UK Research &amp; Innovation (UKRI); Natural Environment Research Council (NERC); NERC British Antarctic Survey; Kingston University</t>
  </si>
  <si>
    <t>Taylor, GK (corresponding author), Univ Plymouth, Dept Geol Sci, Drake Circus, Plymouth PL4 8AA, Devon, England.</t>
  </si>
  <si>
    <t>ELSEVIER SCIENCE BV</t>
  </si>
  <si>
    <t>AMSTERDAM</t>
  </si>
  <si>
    <t>PO BOX 211, 1000 AE AMSTERDAM, NETHERLANDS</t>
  </si>
  <si>
    <t>0040-1951</t>
  </si>
  <si>
    <t>Tectonophysics</t>
  </si>
  <si>
    <t>10.1016/S0040-1951(99)00218-8</t>
  </si>
  <si>
    <t>Geochemistry &amp; Geophysics</t>
  </si>
  <si>
    <t>270FH</t>
  </si>
  <si>
    <t>WOS:000084524400008</t>
  </si>
  <si>
    <t>Waugh, DW; Randel, WJ; Pawson, S; Newman, PA; Nash, ER</t>
  </si>
  <si>
    <t>Persistence of the lower stratospheric polar vortices</t>
  </si>
  <si>
    <t>JOURNAL OF GEOPHYSICAL RESEARCH-ATMOSPHERES</t>
  </si>
  <si>
    <t>ANTARCTIC OZONE HOLE; INTERANNUAL VARIABILITY; GEOPOTENTIAL HEIGHT; VORTEX; REANALYSIS</t>
  </si>
  <si>
    <t>The persistence of the Arctic and Antarctic lower stratospheric vortices is examined over the period from 1958 to 1999. Three different vortex-following diagnostics (two using potential vorticity and one based solely on the zonal winds) are compared and are shown to give very similar results for the breakup date. The variability in the timing of the breakup of both vortices is qualitatively the same: There are large interannual variations together with smaller decadal-scale variations and there is a significant increase in the persistence since the mid-1980s (all variations are larger for the Arctic vortex). Also, in bath hemispheres, there is a high correlation between the persistence and the strength and coldness of the spring vortex, with all quantities having the same interannual and decadal variability. However, there is no such correlation between the persistence and the characteristics of the midwinter vortex. In the Northern Hemisphere, there is also a high correlation between the vortex persistence and the upper tropospheric/lower stratospheric eddy heat flux averaged over the 2 months prior to the breakup. This indicates that the variability in the wave activity entering the stratosphere over late winter to early spring plays a key role in the variability of the Arctic vortex persistence (and spring polar temperatures) on both interannual and decadal timescales. However, the extreme values of Arctic vortex coldness and persistence during the 1990's are not echoed as a similar extreme in the eddy heat flux. This suggests that the recent increase in vortex persistence is not solely due to changes in the wave activity entering the stratosphere.</t>
  </si>
  <si>
    <t>Johns Hopkins Univ, Dept Earth &amp; Planetary Sci, Baltimore, MD 21218 USA; NASA, Goddard Space Flight Ctr, Steven Myers &amp; Associates Corp, Greenbelt, MD 20771 USA; NASA, Goddard Space Flight Ctr, Univ Space Res Assoc, Greenbelt, MD 20771 USA; Natl Ctr Atmospher Res, Boulder, CO 80307 USA</t>
  </si>
  <si>
    <t>Johns Hopkins University; National Aeronautics &amp; Space Administration (NASA); NASA Goddard Space Flight Center; Universities Space Research Association (USRA); National Aeronautics &amp; Space Administration (NASA); NASA Goddard Space Flight Center; National Center Atmospheric Research (NCAR) - USA</t>
  </si>
  <si>
    <t>Waugh, DW (corresponding author), Johns Hopkins Univ, Dept Earth &amp; Planetary Sci, Baltimore, MD 21218 USA.</t>
  </si>
  <si>
    <t>waugh@jhu.edu; randel@ucar.edu; pawson@polska.gsfc.nasa.gov; newman@notus.gsfc.nasa.gov; nash@notus.gsfc.nasa.gov</t>
  </si>
  <si>
    <t>Randel, William J/K-3267-2016; Pawson, Steven/I-1865-2014; Newman, Paul A./D-6208-2012; Waugh, Darryn/K-3688-2016</t>
  </si>
  <si>
    <t>Pawson, Steven/0000-0003-0200-717X; Newman, Paul A./0000-0003-1139-2508; Waugh, Darryn/0000-0001-7692-2798</t>
  </si>
  <si>
    <t>AMER GEOPHYSICAL UNION</t>
  </si>
  <si>
    <t>WASHINGTON</t>
  </si>
  <si>
    <t>2000 FLORIDA AVE NW, WASHINGTON, DC 20009 USA</t>
  </si>
  <si>
    <t>2169-897X</t>
  </si>
  <si>
    <t>J GEOPHYS RES-ATMOS</t>
  </si>
  <si>
    <t>J. Geophys. Res.-Atmos.</t>
  </si>
  <si>
    <t>NOV 27</t>
  </si>
  <si>
    <t>D22</t>
  </si>
  <si>
    <t>10.1029/1999JD900795</t>
  </si>
  <si>
    <t>259BT</t>
  </si>
  <si>
    <t>WOS:000083874700002</t>
  </si>
  <si>
    <t>Vincent, AP; Tranchant, BJS</t>
  </si>
  <si>
    <t>Anisotropic turbulent diffusion for ozone transport at 520 K</t>
  </si>
  <si>
    <t>STRATOSPHERIC POLAR VORTEX; POTENTIAL VORTICITY; TRACER; CONSERVATION; DYNAMICS; WAVES; EDGE</t>
  </si>
  <si>
    <t>The effective meridional turbulent diffusivity D-T (K-yy) of ozone at the 520 K isentropic surface level has been computed from the satellite maps of total ozone concentration (Total Ozone Mapping Spectrometer (TOMS)) and the available winds (United Kingdom Meteorological Office (UKMO)) in the Antarctic stratosphere for the springs of 1992 and 1994. We found that for a fixed rms north-south velocity, the turbulent diffusivity of ozone decreases when the anisotropy (A = east-west over north-south winds) increases; This result stands for anisotropies ranging from A &gt; 1 up to A 25, and a sill exists at A approximate to 10. The effect is particularly pronounced at the edge of the vortex where the corresponding meridional turbulent ozone flux also decreases with A. We show that the break of meridional mean transport is due to a homogenization process in the transverse (east-west) direction, at the edge of the vortex (60 degrees). This study gives a new physical insight in favor of the impermeability of the vortex.</t>
  </si>
  <si>
    <t>Ctr Rech Calcul Appl, Bur 400, Montreal, PQ H3X 2H9, Canada; Univ Montreal, Dept Phys, Montreal, PQ, Canada</t>
  </si>
  <si>
    <t>Universite de Montreal</t>
  </si>
  <si>
    <t>Vincent, AP (corresponding author), Ctr Rech Calcul Appl, Bur 400, 5160 Boul Decarie, Montreal, PQ H3X 2H9, Canada.</t>
  </si>
  <si>
    <t>vincent@cerca.umontreal.ca; tranchab@cerca.umontreal.ca</t>
  </si>
  <si>
    <t>10.1029/1999JD900794</t>
  </si>
  <si>
    <t>Bronze</t>
  </si>
  <si>
    <t>WOS:000083874700004</t>
  </si>
  <si>
    <t>Neff, WD</t>
  </si>
  <si>
    <t>Decadal time scale trends and variability in the tropospheric circulation over the South Pole</t>
  </si>
  <si>
    <t>Review</t>
  </si>
  <si>
    <t>ANTARCTIC OZONE HOLE; QUASI-BIENNIAL OSCILLATION; SEA-ICE CONCENTRATION; ATMOSPHERIC CIRCULATION; SEMIANNUAL OSCILLATION; SURFACE-TEMPERATURE; AIR-TEMPERATURE; KATABATIC WINDS; EAST-ANTARCTICA; FLOW PATTERNS</t>
  </si>
  <si>
    <t>This paper documents significant long-term changes in the tropospheric circulation and progression of the seasonal cycle over the South Pole and relates aspects of the changes to the enhanced springtime stratospheric ozone depletion of recent decades. During the winter-to-summer transition over Antarctica, the formation of the thermal tropopause above 150 hPa is now delayed by a month compared to the early 1960s. A similar delay occurs in the breakdown of the winter polar stratospheric vortex, a prerequisite to the formation of the strong summertime tropopause near 300 hPa A delay in tropopause formation implies delays in those aspects of the transition from winter to summer in the dynamics of the troposphere that are sensitive to its upper boundary condition, including the contraction of the Rossby radius of deformation during the shallow troposphere phase of summer. Consistent with this expectation, the normal springtime decline of baroclinic-eddy activity in the lower troposphere now occurs later by a month. Similar delays occur in the time of an early summer minimum in total cloud fraction that coincides with the time of the maximum stratification between 150 and 100 hPa. In addition, the analyses reveal (1) an increase of 15 to 20% in spring and summer cloud fraction over the last four decades; (2) a separation of spring and summer cloudiness into two transport regimes with a distinct intervening minimum in cloud fraction; (3) a decadal modulation of springtime cloudiness that is coincident with decadal shifts in the directional mode of 300-hPa winds following solar minima; (4) a long-term increase in total inversion strength, inversion depth, and 650-to 300-hPa thickness; and (5) a long-term decrease in wintertime surface wind speed, surface temperature, and near-surface lapse rate. The study also introduces a covariance technique that exploits the control by continental-scale orography of synoptic and surface flow regimes, increasing the value of lower tropospheric observations for the study of climate change over Antarctica. Finally, a cautionary note arises from the apparent effect of the Weddell Polynyas and the reduction of the maximum extent of sea ice of the middle to late 1970s, with increased tropospheric and lower stratospheric temperatures and an earlier time of formation of the tropopause. This observation suggests that the occurrence of decadal and subdecadal variability in the ocean and the atmosphere of the Southern Hemisphere may obscure the detection of long-term trends in the circulation over Antarctica.</t>
  </si>
  <si>
    <t>NOAA, Environm Technol Lab, Boulder, CO 80303 USA; Univ Colorado, Div Cryospher &amp; Polar Proc, Cooperat Inst Res Environm Sci, Boulder, CO 80309 USA</t>
  </si>
  <si>
    <t>National Oceanic Atmospheric Admin (NOAA) - USA; University of Colorado System; University of Colorado Boulder</t>
  </si>
  <si>
    <t>Neff, WD (corresponding author), NOAA, Environm Technol Lab, 325 Broadway,R-E-ET7, Boulder, CO 80303 USA.</t>
  </si>
  <si>
    <t>wneff@etl.noaa.gov</t>
  </si>
  <si>
    <t>Neff, William D/E-2725-2010</t>
  </si>
  <si>
    <t>Neff, William D/0000-0003-4047-7076</t>
  </si>
  <si>
    <t>10.1029/1999JD900483</t>
  </si>
  <si>
    <t>WOS:000083874700005</t>
  </si>
  <si>
    <t>Gavagnin, M; De Napoli, A; Castelluccio, F; Cimino, G</t>
  </si>
  <si>
    <t>Austrodorin-A and -B:: first tricyclic diterpenoid 2′-monoglyceryl esters from an Antarctic nudibranch</t>
  </si>
  <si>
    <t>TETRAHEDRON LETTERS</t>
  </si>
  <si>
    <t>marine metabolites; molluscs; terpene; terpenoids; glycerol</t>
  </si>
  <si>
    <t>TERPENOIC ACID GLYCERIDES; ICHTHYOTOXIC DIACYLGLYCEROL; DORID-NUDIBRANCHS; MARINE MOLLUSKS; VERRUCOSA; SKIN</t>
  </si>
  <si>
    <t>Two novel diterpenoid 2'-monoglyceryl esters, austrodorin-A (7) and austrodorin-B (8), which contain the isocopalane skeleton with an uncommon oxygenated substitution pattern, have been isolated from the skin of the Antarctic nudibranch Austrodoris kerguelenensis. Structures and relative stereochemistries have been established by NMR methods, whereas the absolute configuration was suggested by comparison of their CD profiles with those of model compounds. (C) 1999 Elsevier Science Ltd. All rights reserved.</t>
  </si>
  <si>
    <t>CNR, Ist Chim Mol Interesse Biol, I-80072 Arco, Italy</t>
  </si>
  <si>
    <t>Consiglio Nazionale delle Ricerche (CNR)</t>
  </si>
  <si>
    <t>Gavagnin, M (corresponding author), CNR, Ist Chim Mol Interesse Biol, Via Toiano 6, I-80072 Arco, Italy.</t>
  </si>
  <si>
    <t>Gavagnin, Margherita/B-4584-2012</t>
  </si>
  <si>
    <t>PERGAMON-ELSEVIER SCIENCE LTD</t>
  </si>
  <si>
    <t>OXFORD</t>
  </si>
  <si>
    <t>THE BOULEVARD, LANGFORD LANE, KIDLINGTON, OXFORD OX5 1GB, ENGLAND</t>
  </si>
  <si>
    <t>0040-4039</t>
  </si>
  <si>
    <t>TETRAHEDRON LETT</t>
  </si>
  <si>
    <t>Tetrahedron Lett.</t>
  </si>
  <si>
    <t>NOV 26</t>
  </si>
  <si>
    <t>10.1016/S0040-4039(99)01777-3</t>
  </si>
  <si>
    <t>Chemistry, Organic</t>
  </si>
  <si>
    <t>Science Citation Index Expanded (SCI-EXPANDED); Index Chemicus (IC)</t>
  </si>
  <si>
    <t>Chemistry</t>
  </si>
  <si>
    <t>253FL</t>
  </si>
  <si>
    <t>WOS:000083545800039</t>
  </si>
  <si>
    <t>Shirodkar, PV; Somayajulu, YK; Sarma, YVB; Vijayakumar, R</t>
  </si>
  <si>
    <t>Hydrographic characteristics of the Indian sector of the Southern Ocean</t>
  </si>
  <si>
    <t>CURRENT SCIENCE</t>
  </si>
  <si>
    <t>AFRICA</t>
  </si>
  <si>
    <t>Oceanographic studies in the Indian sector of the Southern Ocean (58-61 degrees S; and 30-40 degrees E) carried out during December 1995 and March 1996 indicate a 3-layer structure typical of summer in the oceanic domain south of the Antarctic Polar Front. The upper 300 m water column consists of three distinctive thermohaline characteristics. The surface layer (50 m) of summer surface water formed by seasonal warming with temperatures (0-2 degrees C) and low salinity (&lt; 33.8 PSU), the intermediate layer (50-150 m) of winter reminiscent water with negative temperatures (0 to -2 degrees C) and moderate salinity (33.8-34.3 PSU) and the deeper layer (below 150 m) of Circumpolar Deep Watermass (CDW) with positive temperatures (0-2 degrees C) and higher salinity (34.3-34.8PSU). The influence of the strong Antarctic Divergence between the east and west drifts is noticed at 61 degrees S, 34 degrees E marked by phytoplankton and zooplankton patches. The dissolved oxygen (DO) shows high concentrations (7.6 to &gt;8.0 ml l(-1)) in the upper layer, These higher levels of DO sometimes extend down to the intermediate layer and gradually decrease further downwards. The observed low temperature and high DO in the subsurface water (50-75 m) are typical signatures of Antarctic Winter Watermass (AWW) formed during winter, Calcium, magnesium and boron show significant spatial variations with higher values of Ca and Mg along 59 degrees S and 60 degrees S relative to 61 degrees S, Ca exhibits large variations (398-421 mg kg(-1) while Mg shows least variations with concentrations close to the average value for normal sea water (1294 mg kg(-1)). Boron depicts high values along 59 degrees S and 61 degrees S compared to 60 degrees S, with higher values in the subsurface layer (25-75 m) which are attributed to biological characteristics and the frontal systems in the region. Phytoplankton cell counts remain high (between 1.92 and 22.9 x 10(4) per litre) while zooplankton biomass shows variations from 9.8 to 303.62 ml 100 m(-3). A marked drop of both phytoplankton and zooplankton in the region of krill swarm (between 60 degrees 40'-61 degrees 13'S and 33 degrees 34'-34 degrees 14'E), however, indicates active feeding by the latter on the planktonic communities.</t>
  </si>
  <si>
    <t>Natl Inst Oceanog, Dona Paula 403004, Goa, India</t>
  </si>
  <si>
    <t>Council of Scientific &amp; Industrial Research (CSIR) - India; CSIR - National Institute of Oceanography (NIO)</t>
  </si>
  <si>
    <t>Shirodkar, PV (corresponding author), Natl Inst Oceanog, Dona Paula 403004, Goa, India.</t>
  </si>
  <si>
    <t>CURRENT SCIENCE ASSN</t>
  </si>
  <si>
    <t>BANGALORE</t>
  </si>
  <si>
    <t>C V RAMAN AVENUE, PO BOX 8005, BANGALORE 560 080, INDIA</t>
  </si>
  <si>
    <t>0011-3891</t>
  </si>
  <si>
    <t>CURR SCI INDIA</t>
  </si>
  <si>
    <t>Curr. Sci.</t>
  </si>
  <si>
    <t>NOV 25</t>
  </si>
  <si>
    <t>Multidisciplinary Sciences</t>
  </si>
  <si>
    <t>Science &amp; Technology - Other Topics</t>
  </si>
  <si>
    <t>263UW</t>
  </si>
  <si>
    <t>WOS:000084144500017</t>
  </si>
  <si>
    <t>Michelsen, HA; Webster, CR; Manney, GL; Scott, DC; Margitan, JJ; May, RD; Irion, FW; Gunson, MR; Russell, JM; Spivakovsky, CM</t>
  </si>
  <si>
    <t>Maintenance of high HCl/Cly and NOx/NOy in the Antarctic vortex:: A chemical signature of confinement during spring</t>
  </si>
  <si>
    <t>STRATOSPHERIC POLAR VORTEX; HALOGEN OCCULTATION EXPERIMENT; ARCTIC STRATOSPHERE; HYDROGEN-CHLORIDE; SULFURIC-ACID; OZONE LOSS; ATMOS/ATLAS-3 MEASUREMENTS; POTENTIAL VORTICITY; WINTER STRATOSPHERE; INSTRUMENTS ABOARD</t>
  </si>
  <si>
    <t>Observations made in the 1994 Antarctic vortex show that Cl-y recovered completely into HCl following conversion of Cl-y reservoir species to active radicals, and NOx constituted a 4-5 times higher fraction of NOy inside the vortex than outside. Measurements made in October and November from the Airborne Southern Hemisphere Ozone Expedition/Measurements of the Atmospheric Effects of Stratospheric Aircraft (ASHOE/MAESA) ER-2 aircraft mission, the third Atmospheric Laboratory for Applications and Science (ATLAS-3) space shuttle mission, and the Upper Atmosphere Research Satellite (UARS) demonstrate that this unusual partitioning of Cl-y and NOy was maintained for at least 4 weeks in the springtime vortex. In response to severe ozone loss, abundances of HCl and NOx remained high despite temperatures low enough to reactivate Cl-y and convert NOx to HNO3 via heterogeneous processes. Thus, under severely ozone depleted conditions, high HCl and NOx abundances in the vortex are maintained until the vortex breaks up or an influx of ozone-rich extravortex air is entrained into the vortex. These observations suggest that the flux of extravortex air entering the core of the lower stratospheric vortex was small or negligible above similar to 400 K during late spring, despite weakening of the vortex during this time period. Results of a photochemical model constrained by the measurements suggest that extravortex air entrained into the vortex during October and early November made up less than 5% of the vortex core air at 409 K. The model results also show that heterogeneous chemistry has little effect on the Cl-y and NOy partitioning once high abundances of HCl have been attained under ozone depleted conditions, even when aerosol loading is high.</t>
  </si>
  <si>
    <t>Sandia Natl Labs, Livermore, CA 94551 USA; CALTECH, Jet Prop Lab, Pasadena, CA 91109 USA; Hampton Univ, Ctr Atmospher Sci, Hampton, VA 23668 USA; Harvard Univ, Dept Earth &amp; Planetary Sci, Cambridge, MA 02138 USA; Atmospher &amp; Environm Res Inc, San Ramon, CA USA</t>
  </si>
  <si>
    <t>United States Department of Energy (DOE); Sandia National Laboratories; California Institute of Technology; National Aeronautics &amp; Space Administration (NASA); NASA Jet Propulsion Laboratory (JPL); Hampton University; Harvard University; Atmospheric &amp; Environmental Research</t>
  </si>
  <si>
    <t>Sandia Natl Labs, MS 9055,POB 969, Livermore, CA 94551 USA.</t>
  </si>
  <si>
    <t>hamiche@ca.sandia.gov; chris.r.webster@jpl.nasa.gov; manney@mls.jpl.nasa.gov; dcscott@alpha1.jpl.nasa.gov; jjm@mark4sun.jpl.nasa.gov; rmay@alpha1.jpl.nasa.gov; fwi@caesar.jpl.nasa.gov; mrg@caesar.jpl.nasa.gov; jmr@lcas.hamptonu.edu; cms@io.harvard.edu</t>
  </si>
  <si>
    <t>Manney, Gloria/JED-7207-2023; Webster, Chris/M-9315-2019</t>
  </si>
  <si>
    <t>Michelsen, Hope/0000-0001-5802-6615</t>
  </si>
  <si>
    <t>2169-8996</t>
  </si>
  <si>
    <t>NOV 20</t>
  </si>
  <si>
    <t>D21</t>
  </si>
  <si>
    <t>10.1029/1999JD900473</t>
  </si>
  <si>
    <t>257KN</t>
  </si>
  <si>
    <t>WOS:000083781200023</t>
  </si>
  <si>
    <t>Rummukainen, M; Isaksen, ISA; Rognerud, B; Stordal, F</t>
  </si>
  <si>
    <t>A global model tool for three-dimensional multiyear stratospheric chemistry simulations: Model description and first results</t>
  </si>
  <si>
    <t>GENERAL-CIRCULATION MODEL; HETEROGENEOUS CHEMISTRY; MICROWAVE OBSERVATIONS; MIDDLE ATMOSPHERE; OZONE DEPLETION; SULFURIC-ACID; ANNUAL CYCLE; 2-D MODEL; UARS DATA; HBR</t>
  </si>
  <si>
    <t>The paper presents a new global modeling tool, Stratospheric Chemical Transport Model 2. It has been developed for effective three-dimensional multiyear stratospheric chemistry studies, featuring an extensive chemistry scheme, heterogeneous processing on sulfate aerosols, and some polar stratospheric cloud processes. The transport algorithm maintains sub-grid-scale distributions and connects vertically the stratospheric layers, even in a coarse vertical grid. The model has been integrated for 49 months, recycling 1 year of precalculated transport from a middle atmosphere general circulation model. One year of daily National Centers for Environmental Prediction global analyses are used as temperatures. Diurnal cycles of photolysis rates are recalculated every 7 days to give interaction with ozone changes. The model is able to describe most of the geographical and seasonal ozone variability and the meridional distributions of ozone, reactive nitrogen, chlorine, and bromine. Stratospheric diurnal cycles for nitrogen, hydrogen, chlorine, and bromine species are captured in detail. The upper stratosphere ozone deficiency, typical to models, is large. Its sensitivity to different ways of tuning are explored. Midlatitude, rather than polar, wintertime processes have so far been the focus in this model tool. The present transport and grid resolution are not suited for realistic simulations at high latitudes. As there is only a limited inclusion of polar stratospheric cloud (PSC) microphysics, chemical processing in the cold polar lower stratosphere also cannot be well simulated. For example, the Antarctic ozone hole is not simulated, but the modeled chemistry should be suitable for warm Arctic winters when type II PSCs and particle sedimentation do not occur.</t>
  </si>
  <si>
    <t>Univ Oslo, Dept Geophys, N-0315 Oslo, Norway; Finnish Meteorol Inst, Sodankyla Observ, Sodankyla, Finland</t>
  </si>
  <si>
    <t>University of Oslo; Finnish Meteorological Institute</t>
  </si>
  <si>
    <t>Rummukainen, M (corresponding author), Swedish Meteorol &amp; Hydrol Inst, SE-60176 Norrkoping, Sweden.</t>
  </si>
  <si>
    <t>markku.rummukainen@smhi.se</t>
  </si>
  <si>
    <t>Stordal, Frode/R-6672-2017</t>
  </si>
  <si>
    <t>Stordal, Frode/0000-0002-5190-6473; Rognerud, Bjorg/0000-0001-5958-4547</t>
  </si>
  <si>
    <t>10.1029/1999JD900407</t>
  </si>
  <si>
    <t>WOS:000083781200024</t>
  </si>
  <si>
    <t>Sen, B; Osterman, GB; Salawitch, RJ; Toon, GC; Margitan, JJ; Blavier, JF; Chang, AY; May, RD; Webster, CR; Stimpfle, RM; Bonne, GP; Voss, PB; Perkins, KK; Anderson, JG; Cohen, RC; Elkins, JW; Dutton, GS; Hurst, DF; Romashkin, PA; Atlas, EL; Schauffler, SM; Loewenstein, M</t>
  </si>
  <si>
    <t>The budget and partitioning of stratospheric chlorine during the 1997 Arctic summer</t>
  </si>
  <si>
    <t>SULFATE AEROSOLS; ANTARCTIC OZONE; NITROUS-OXIDE; SULFURIC-ACID; ATMOS; ABSORPTION; AIRCRAFT; N2O; ABUNDANCE; DEPLETION</t>
  </si>
  <si>
    <t>Volume mixing ratio profiles of HCl, HOCl, ClNO3, CH3Cl, CFC-12, CFC-11, CCl4, HCFC-22, and CFC-113, were measured simultaneously from 9 to 38 km by the Jet Propulsion Laboratory MkIV Fourier Transform Infrared solar absorption spectrometer during two balloon flights from Fairbanks, Alaska (64.8 degrees N), on May 8 and July 8, 1997. The altitude variation of total organic chlorine (CCly), total inorganic chlorine (Cl-y), and the nearly constant value (3.7 +/- 0.2 ppbv) of their sum (Cl-TOT) demonstrates that the stratospheric chlorine species available to react with O-3 are supplied by the decomposition of organic chlorinated compounds whose abundances are well quantified. Measured profiles of HCL and ClNO3 agree well with profiles found by photochemical model (differences &lt; 10% for altitudes below 35 km) constrained by various other constituents measured by MkIV. The production of HCl by ClO + OH plays a relatively small role in the partitioning of HCl and ClNO3 for the sampled air masses. However, better agreement with the measured profiles of HCl and ClNO3 is obtained when this source of HCl is included in the model. Both the measured and calculated [ClNO3]/[HCl] ratios exhibit the expected near linear variation with [O-3](2)/[CH4] over a broad range of altitudes. MkIV measurements of HCl, ClNO3, and CCly agree well with ER-2 in situ observations of these quantities for directly comparable air masses. These results demonstrate good understanding of the budget of stratospheric chlorine and that the partitioning of inorganic chlorine is accurately described by photochemical models that employ JPL97 reaction rates and production of HCl from ClO + OH for the environmental conditions encountered: relatively warm temperatures, long periods of solar illumination, and relatively low aerosol surface areas.</t>
  </si>
  <si>
    <t>CALTECH, Jet Prop Lab, Pasadena, CA 91109 USA; Harvard Univ, Dept Chem &amp; Chem Biol, Cambridge, MA 02138 USA; Harvard Univ, Dept Earth &amp; Planetary Sci, Cambridge, MA 02138 USA; Univ Calif Berkeley, Dept Chem, Berkeley, CA 94720 USA; Univ Calif Berkeley, Dept Geol &amp; Geophys, Berkeley, CA 94720 USA; NOAA, Climate Monitoring &amp; Diagnost Lab, Boulder, CO 80303 USA; Natl Ctr Atmospher Res, Cooperat Inst Res Environm Sci, Boulder, CO 80303 USA; NASA, Ames Res Ctr, Moffett Field, CA 94035 USA</t>
  </si>
  <si>
    <t>California Institute of Technology; National Aeronautics &amp; Space Administration (NASA); NASA Jet Propulsion Laboratory (JPL); Harvard University; Harvard University; University of California System; University of California Berkeley; University of California System; University of California Berkeley; National Oceanic Atmospheric Admin (NOAA) - USA; National Center Atmospheric Research (NCAR) - USA; National Aeronautics &amp; Space Administration (NASA); NASA Ames Research Center</t>
  </si>
  <si>
    <t>Sen, B (corresponding author), CALTECH, Jet Prop Lab, MS 183-601, Pasadena, CA 91109 USA.</t>
  </si>
  <si>
    <t>bhaswar.sen@jpl.nasa.gov</t>
  </si>
  <si>
    <t>Atlas, Elliot/J-8171-2015; Cohen, Ronald C/A-8842-2011; HURST, DALE/AAC-9948-2022; Dutton, Geoffrey Scott/V-9977-2019; Atlas, Elliot/AAE-4605-2021; Webster, Chris/M-9315-2019; Salawitch, Ross/B-4605-2009; Hurst, Dale/D-1554-2016</t>
  </si>
  <si>
    <t>Cohen, Ronald C/0000-0001-6617-7691; HURST, DALE/0000-0002-6315-2322; Dutton, Geoffrey Scott/0000-0001-7777-9268; Hurst, Dale/0000-0002-6315-2322; Atlas, Elliot/0000-0003-3847-5346</t>
  </si>
  <si>
    <t>10.1029/1999JD900245</t>
  </si>
  <si>
    <t>WOS:000083781200038</t>
  </si>
  <si>
    <t>Randeniya, LK; Plumb, IC; Ryan, KR</t>
  </si>
  <si>
    <t>NOy and Cly partitioning in the middle stratosphere:: A box model investigation using HALOE data</t>
  </si>
  <si>
    <t>IN-SITU MEASUREMENTS; OCCULTATION EXPERIMENT; ANTARCTIC OZONE; CHLORINE; NITROGEN; DEPLETION; PINATUBO; AEROSOLS; UARS; HCL</t>
  </si>
  <si>
    <t>The partitioning of the active nitrogen and chlorine families (NOy, Cl-y) between 24 and 32 km and 30 degrees and 75 degrees N in summer and autumn is studied using a photochemical box model. Data obtained from the Halogen Occultation Experiment (HALOE) are used to initialize the model and to obtain measured values for NO, NO2 and HCl. When the recommended kinetic and photochemical parameters are used, the model underestimates the NOx/NOy ratios by 15-35%. As in analyses of aircraft, balloon, and laboratory data, it is found that the gas-phase processes which link NOx and HNO3 are inadequately represented by the model. The inclusion of rate expressions derived recently for the reactions of OH with NO2 and OH with HNO3 in the model results in 8-20% increases in NOx, where the larger increases are obtained at lower altitudes. Despite better agreement resulting from the use of new rate expressions, differences in excess of 20% remain between NOx/NOy values obtained from measurements and calculations. The remaining differences are particularly noticeable above about 27 km. This implies that further studies of the reactions controlling partitioning in the NOy family are necessary. The use of branching ratios determined recently for the production of HCl from the reaction between ClO and OH leads to better agreement for the HCl/Cl-y ratios obtained from measurements and calculations for altitudes above 27 km, However, the agreement below 27 km becomes poorer as a result of calculated additional production of HC1. Overall, within the recommended uncertainties for the relevant rate coefficients, the model predictions for HCl/Cl-y, agree with the values obtained from measurements between 24 and 32 km.</t>
  </si>
  <si>
    <t>CSIRO, Telecommun &amp; Ind Phys, Lindfield, NSW 2070, Australia; Monash Univ, Cooperat Res Ctr So Hemisphere Meteorol, Clayton, Vic 3168, Australia</t>
  </si>
  <si>
    <t>Commonwealth Scientific &amp; Industrial Research Organisation (CSIRO); Monash University</t>
  </si>
  <si>
    <t>Randeniya, LK (corresponding author), CSIRO, Telecommun &amp; Ind Phys, POB 218,Brandfield Rd, Lindfield, NSW 2070, Australia.</t>
  </si>
  <si>
    <t>Keith.Ryan@tip.csiro.au</t>
  </si>
  <si>
    <t>10.1029/1999JD900440</t>
  </si>
  <si>
    <t>WOS:000083781200039</t>
  </si>
  <si>
    <t>Donsig, HA; Herridge, D; Vickerman, JC</t>
  </si>
  <si>
    <t>Static SIMS studies of reactions on mimics of polar stratospheric clouds III: Mechanism of chlorine nitrate decomposition and reaction</t>
  </si>
  <si>
    <t>JOURNAL OF PHYSICAL CHEMISTRY A</t>
  </si>
  <si>
    <t>ION MASS-SPECTROMETRY; HYDROGEN-CHLORIDE; SURFACE-ANALYSIS; OZONE DEPLETION; ANTARCTIC OZONE; LOW-TEMPERATURE; NITRIC-ACID; WATER ICE; HCL; CHEMISTRY</t>
  </si>
  <si>
    <t>Static secondary ion mass spectrometry (SSIMS) was used to probe the interactions of chlorine nitrate (ClONO2) or of chlorine nitrate plus HCl with condensed water ice films to probe the molecular interactions that may occur on polar stratospheric clouds, The experiments were carried out in an ultrahigh vacuum chamber on ice films at temperatures between 90 and 170 K and at pressures up to 5 x 10(-7) mbar. A reference set of SSIMS spectra obtained at &lt;100 K on gold and on ice were used as the basis set from which to probe molecular transformations and surface reactions. At 90-100 K chlorine nitrate adsorbs on gold or ice as a molecular species. Depth profiling experiments through chlorine nitrate multilayers laid down on an ice film indicated a change in the degree of polarization of the Cl-O bond in the chlorine nitrate molecules as proximity to water molecules increased (i.e,, as the chlorine nitrate/ice interface was approached). Upon warming, the chlorine nitrate began to desorb from the ice film at 120 K, Despite the polarizing influence of the water molecules, no hydrolysis products were observed under these conditions. In contrast, the ClONO2 reacted readily above 120 K when HCl was present, Formation of nitrate ions, implying the formation of surface-adsorbed nitric acid was indicated by the appearance of an NO3- signal in the negative ion SSIMS spectrum. This was accompanied by a simultaneous increase in the partial pressure of chlorine species in the gas phase. It was thus concluded that chlorine nitrate can react directly in the presence of the strong solvated Cl- nucleophile to form molecular chlorine (which desorbs) and solvated or condensed nitric acid.</t>
  </si>
  <si>
    <t>Univ Manchester, Inst Sci &amp; Technol, Dept Chem, Surface Anal Res Ctr, Manchester M60 1QD, Lancs, England</t>
  </si>
  <si>
    <t>University of Manchester</t>
  </si>
  <si>
    <t>Vickerman, JC (corresponding author), Univ Manchester, Inst Sci &amp; Technol, Dept Chem, Surface Anal Res Ctr, Manchester M60 1QD, Lancs, England.</t>
  </si>
  <si>
    <t>AMER CHEMICAL SOC</t>
  </si>
  <si>
    <t>1155 16TH ST, NW, WASHINGTON, DC 20036 USA</t>
  </si>
  <si>
    <t>1089-5639</t>
  </si>
  <si>
    <t>J PHYS CHEM A</t>
  </si>
  <si>
    <t>J. Phys. Chem. A</t>
  </si>
  <si>
    <t>NOV 18</t>
  </si>
  <si>
    <t>10.1021/jp9910284</t>
  </si>
  <si>
    <t>Chemistry, Physical; Physics, Atomic, Molecular &amp; Chemical</t>
  </si>
  <si>
    <t>Chemistry; Physics</t>
  </si>
  <si>
    <t>260XL</t>
  </si>
  <si>
    <t>WOS:000083978700008</t>
  </si>
  <si>
    <t>André, R; Pinnock, M; Rodger, AS</t>
  </si>
  <si>
    <t>On the SuperDARN autocorrelation function observed in the ionospheric cusp</t>
  </si>
  <si>
    <t>GEOPHYSICAL RESEARCH LETTERS</t>
  </si>
  <si>
    <t>HF-RADAR OBSERVATIONS; BOUNDARY-LAYER; FIELD</t>
  </si>
  <si>
    <t>The SuperDARN radars are proving to be a very powerful experimental tool for exploring solar wind-magnetosphere-ionosphere interactions. They measure the autocorrelation function (ACF) of the transmitted signal backscattered from the ionospheric irregularities, and derive parameters such as the Doppler velocity and the spectral width. The associated spectra have a specific behaviour inside the cusp, a strong temporal and spatial evolution of the velocity and spectral width, and a high value of the spectral width. Although no studies have explained these characteristics, they are routinely used to detect the cusp in the radar data and estimate the open/closed field line boundary. Both satellite and magnetometer data show in the same region broadband wave activity in the Pc1, Pc2 frequency band. In this study, we evaluate how such wave activity modifies the radar's ACF, and conclude that it explains the spectra seen in the cusp.</t>
  </si>
  <si>
    <t>André, R (corresponding author), British Antarctic Survey, NERC, High Cross,Madingley Rd, Cambridge CB3 0ET, England.</t>
  </si>
  <si>
    <t>0094-8276</t>
  </si>
  <si>
    <t>GEOPHYS RES LETT</t>
  </si>
  <si>
    <t>Geophys. Res. Lett.</t>
  </si>
  <si>
    <t>NOV 15</t>
  </si>
  <si>
    <t>10.1029/1999GL003658</t>
  </si>
  <si>
    <t>Geosciences, Multidisciplinary</t>
  </si>
  <si>
    <t>Geology</t>
  </si>
  <si>
    <t>255PC</t>
  </si>
  <si>
    <t>Green Accepted, Bronze</t>
  </si>
  <si>
    <t>WOS:000083677500006</t>
  </si>
  <si>
    <t>Kuge, K; Kikuchi, M; Yamanaka, Y</t>
  </si>
  <si>
    <t>Non-double-couple moment tensor of the March 25, 1998, Antarctic earthquake: Composite rupture of strike-slip and normal faults</t>
  </si>
  <si>
    <t>INVERSION; MODELS; WAVES</t>
  </si>
  <si>
    <t>The 1998 Antarctic intraplate earthquake (Mw8.1) has a significant non-double-couple component in the moment tensor solution as determined from long-period surface waves. In the teleseismic P and SH waveforms, there are two distinctive wave packets that can be explained by multiple strike-slip subevents. We propose a composite rupture model comprising two different episodes: two predominant clusters of en echelon strike-slip segments (similar to 16 x 10(20) Nm) and normal faulting with a long duration of approximately 100 s (similar to 4 x 10(20) Nm). This model agrees with observations of both teleseismic body waves and long-period surface waves, including the large non-double-couple component. The normal faulting with as long a duration as the main strike-slip rupture might be secondarily induced by the en echelon segments of strike-slip faulting.</t>
  </si>
  <si>
    <t>Kyoto Univ, Dept Geophys, Kyoto 6068502, Japan; Univ Tokyo, Earthquake Res Inst, Tokyo 1130032, Japan</t>
  </si>
  <si>
    <t>Kyoto University; University of Tokyo</t>
  </si>
  <si>
    <t>Kuge, K (corresponding author), Kyoto Univ, Dept Geophys, Kyoto 6068502, Japan.</t>
  </si>
  <si>
    <t>10.1029/1999GL005420</t>
  </si>
  <si>
    <t>WOS:000083677500018</t>
  </si>
  <si>
    <t>Jiang, S; Stone, PH; Malanotte-Rizzoli, P</t>
  </si>
  <si>
    <t>An assessment of the Geophysical Fluid Dynamics Laboratory ocean model with coarse resolution: Annual-mean climatology</t>
  </si>
  <si>
    <t>JOURNAL OF GEOPHYSICAL RESEARCH-OCEANS</t>
  </si>
  <si>
    <t>GENERAL-CIRCULATION MODELS; MIXED BOUNDARY-CONDITIONS; NORTH-ATLANTIC OCEAN; SCALE WATER MASSES; THERMOHALINE CIRCULATION; HEAT-FLUX; MIXING PARAMETERIZATIONS; INDONESIAN THROUGHFLOW; MERIDIONAL CIRCULATION; ENERGY TRANSPORTS</t>
  </si>
  <si>
    <t>The Geophysical Fluid Dynamics Laboratory Modular Ocean Model 2.2 code with coarse resolution (4 degrees x 3 degrees) is assessed by performing three experiments and comparing their equilibrated solutions with recent observationally based analyses (OBAs). The first experiment (E1) uses subgrid-scale horizontal diffusion and surface boundary conditions which relax surface temperature and salinity toward observations. The second (E2) replaces the physically incorrect heat and moisture flux boundary conditions of E1 by flux conditions taken from OBAs, plus a term relaxing surface temperatures toward observations. The third (E3) uses the same surface boundary conditions as E2 but replaces the horizontal diffusion by the Gent-McWilliams (GM) parameterization of isopycnal diffusion. Under the restoring surface boundary conditions (E1), the North Atlantic overturning rate is about 17 Sv, smaller than in OBAs, the maximum poleward heat transport in the Northern Hemisphere is 1.2 Petawatts (PW), also smaller than in OBAs, acid in the Antarctic Circumpolar Current (ACC) region the poleward heat transport is 1.3 PW, much larger than in OBAs. Under the more realistic flux boundary condition (E2) the overturning rate increases to an unrealistically large level of 40 Sv, and the poleward heat transports are only slightly improved. When the GM parameterization is employed (E3), the overturning is reduced to 28 Sv, and the poleward heat transport in the ACC region is reduced to 0.3 PW; both results are consistent with OBAs. However, there is only a slight further improvement in the poleward heat transport in the Northern Hemisphere, which now has a peak value of 1.6 PW, still about 0.5 PW less than in OBAs. The sea surface temperature errors in E3 are consistent with the conclusion that the heat transport in the Northern Hemisphere is still being underestimated. All the experiments show strong systematic biases in the salinity field.</t>
  </si>
  <si>
    <t>MIT, Dept Earth Atmospher &amp; Planetary Sci, Program Atmospheres Oceans &amp; Climate, Cambridge, MA 02139 USA</t>
  </si>
  <si>
    <t>Massachusetts Institute of Technology (MIT)</t>
  </si>
  <si>
    <t>97-24,43rd Ave, New York, NY 11368 USA.</t>
  </si>
  <si>
    <t>simonjiang@bloomberg.net; phstone@mit.edu; rizzoli@ocean.mit.edu</t>
  </si>
  <si>
    <t>2169-9275</t>
  </si>
  <si>
    <t>2169-9291</t>
  </si>
  <si>
    <t>J GEOPHYS RES-OCEANS</t>
  </si>
  <si>
    <t>J. Geophys. Res.-Oceans</t>
  </si>
  <si>
    <t>C11</t>
  </si>
  <si>
    <t>10.1029/1999JC900095</t>
  </si>
  <si>
    <t>Oceanography</t>
  </si>
  <si>
    <t>255DC</t>
  </si>
  <si>
    <t>WOS:000083653400001</t>
  </si>
  <si>
    <t>Granberg, HB; Leppäranta, M</t>
  </si>
  <si>
    <t>Observations of sea ice ridging in the Weddell Sea</t>
  </si>
  <si>
    <t>TOPOGRAPHY; DRAG</t>
  </si>
  <si>
    <t>Sea ice surface topography data were obtained by helicopter-borne laser profiling during the First Finnish Antarctic Expedition (FINNARP-89). The measurements were made near the ice margin at about 73 degrees S, 27 degrees W in the eastern Weddell Sea on December 31, 1989, and January 1, 1990. Five transects, ranging in length from 127 to 163 km and covering a total length of 724 km, are analyzed. With a lower cutoff of 0.91 m the overall ridge frequency was 8.4 ridges/km and the average ridge height was 1.32 m, The spatial variations in ridging were large; for 36 individual 20-km segments the frequencies were 2-16 ridges/km and the mean heights were 1.16-1.56 m. The frequencies and mean heights were weakly correlated. The distributions of the ridge heights followed the exponential distribution; the spacings did not pass tests for either the exponential or the lognormal distribution, but the latter was much closer. In the 20-km segments the areally averaged thickness of ridged ice was 0.51 +/- 0.28 m, ranging from 0.10 to 1.15 m. The observed ridge size and frequency are greater than those known for the Ross Sea. Compared with the central Arctic, the Weddell Sea ridging frequencies are similar but the ridge heights are smaller, possibly as a result of differences in snow accumulation.</t>
  </si>
  <si>
    <t>Univ Sherbrooke, Ctr Applicat &amp; Rech Teledetect, Sherbrooke, PQ J1K 2R1, Canada; Univ Helsinki, Dept Geophys, FIN-00014 Helsinki, Finland</t>
  </si>
  <si>
    <t>University of Sherbrooke; University of Helsinki</t>
  </si>
  <si>
    <t>Granberg, HB (corresponding author), Univ Sherbrooke, Ctr Applicat &amp; Rech Teledetect, Sherbrooke, PQ J1K 2R1, Canada.</t>
  </si>
  <si>
    <t>hgranber@courrier.usherb.ca</t>
  </si>
  <si>
    <t>Lepparanta, Matti/M-7507-2017</t>
  </si>
  <si>
    <t>Lepparanta, Matti/0000-0002-4754-5564</t>
  </si>
  <si>
    <t>10.1029/1999JC900160</t>
  </si>
  <si>
    <t>WOS:000083653400008</t>
  </si>
  <si>
    <t>Schnitzer, C; Baldelli, S; Shultz, MJ</t>
  </si>
  <si>
    <t>Sum frequency generation by water on supercooled H2SO4/H2O liquid solutions at stratospheric temperature</t>
  </si>
  <si>
    <t>CHEMICAL PHYSICS LETTERS</t>
  </si>
  <si>
    <t>SURFACE VIBRATIONAL SPECTROSCOPY; SULFURIC-ACID; ANTARCTIC OZONE; BINARY-SYSTEMS; H2O/H2SO4; PARTICLES; VAPOR; MASS</t>
  </si>
  <si>
    <t>Sum frequency generation spectra indicate that the surface water of liquid sulfuric acid solutions varies as a function of concentration, but not with temperature. At 0.1 x H2SO4 (where x = mole fraction, 38 wt%), subsurface ionic species orient surface water molecules. The surface of 0.2 x H2SO4 (58 wt%) solutions, however, features H2SO4/H2O complexes both at 273 K and supercooled at 216 K. The results support a picture of stratospheric chemistry in which sulfuric acid aerosols are coated with hydrogen-bonded water/sulfuric acid complexes. (C) 1999 Elsevier Science B.V. All rights reserved.</t>
  </si>
  <si>
    <t>Tufts Univ, Dept Chem, Medford, MA 02155 USA; Univ Calif Berkeley, Dept Chem, Berkeley, CA 94720 USA</t>
  </si>
  <si>
    <t>Tufts University; University of California System; University of California Berkeley</t>
  </si>
  <si>
    <t>Shultz, MJ (corresponding author), Tufts Univ, Dept Chem, Medford, MA 02155 USA.</t>
  </si>
  <si>
    <t>0009-2614</t>
  </si>
  <si>
    <t>CHEM PHYS LETT</t>
  </si>
  <si>
    <t>Chem. Phys. Lett.</t>
  </si>
  <si>
    <t>NOV 12</t>
  </si>
  <si>
    <t>10.1016/S0009-2614(99)01087-8</t>
  </si>
  <si>
    <t>260XA</t>
  </si>
  <si>
    <t>WOS:000083977700003</t>
  </si>
  <si>
    <t>Xu, SC; Guo, R; Wang, SL</t>
  </si>
  <si>
    <t>Research on the model reactions of ClONO2 with HCl on water clusters</t>
  </si>
  <si>
    <t>CHLORINE NITRATE; AB-INITIO; HYDROGEN-CHLORIDE; NITRIC-ACID; HETEROGENEOUS REACTIONS; ANTARCTIC STRATOSPHERE; ICE SURFACE; OZONE HOLE; MECHANISM; CHEMISTRY</t>
  </si>
  <si>
    <t>The reaction of ClONO2 with HCl on ice or on PSC surfaces occurs readily. However, the rate of ClONO2 reacting with HCl in pure gas phase is small. In order to understand the reaction conditions of ClONO2 with HCl, several model reactions of ClONO2 with the (H2O)(n) . HCl clusters for n = 0,1,2,3,4 have been theoretically studied at the MP2//HF/6-31G(d) level and for n = 0,1 at the MP2/6-31G(d) level. One of the reactions for n = 3 has been further calculated at the MP2//HF/6-31G(d,p), MP2//HF/6-311G(d,p), and MP2//HF/6-311 + G(d,p) levels. Numerical results show that the reaction of ClONO2 with HCl on a three- or four-water cluster proceeds faster with a low-energy barrier. The implication for ozone holes in the Antartic and Artic stratosphere is discussed. (C) 1999 Elsevier Science B.V. All rights reserved.</t>
  </si>
  <si>
    <t>Peking Univ, Dept Chem, Beijing 100871, Peoples R China</t>
  </si>
  <si>
    <t>Peking University</t>
  </si>
  <si>
    <t>Xu, SC (corresponding author), Peking Univ, Dept Chem, Beijing 100871, Peoples R China.</t>
  </si>
  <si>
    <t>Guo, Rui/F-2384-2012</t>
  </si>
  <si>
    <t>10.1016/S0009-2614(99)01048-9</t>
  </si>
  <si>
    <t>WOS:000083977700034</t>
  </si>
  <si>
    <t>von Frese, RRB; Tan, L; Kim, JW; Bentley, CR</t>
  </si>
  <si>
    <t>Antarctic crustal modeling from the spectral correlation of free-air gravity anomalies with the terrain</t>
  </si>
  <si>
    <t>JOURNAL OF GEOPHYSICAL RESEARCH-SOLID EARTH</t>
  </si>
  <si>
    <t>TRANSANTARCTIC MOUNTAINS; WEST-ANTARCTICA; EAST; THICKNESS; LITHOSPHERE; BOUNDARY; BENEATH; UPLIFT</t>
  </si>
  <si>
    <t>We investigated the use of enhanced spectral correlation theory for modeling the crustal features of the Antarctic from regional observations of gravity and terrain. The analysis considered 1 degrees-gridded free-air gravity anomalies and topographic rock, ice, and water components for the region south of 60 degrees S. We modeled terrain gravity effects at 150-km altitude by Gauss-Legendre quadrature (GLQ) integration assuming densities of 2800 kg/m(3) for rock, 900 kg/m(3) for ice, and 1030 kg/m(3) for seawater. These effects are substantial relative to the free-air anomalies and must be compensated by the effects of subsurface density variations. Significant terrain-correlated free-air anomalies were revealed by the wavenumber correlation spectrum between the free-air anomalies and the modeled terrain gravity effects, which we interpreted mostly to reflect possible isostatic imbalances of the crust. Subtracting the terrain-correlated free-air anomalies from the total free-air anomalies and topographic gravity effects yielded terrain-decorrelated free-air anomalies and the gravity effects of isostatically compensated terrain features, respectively, which are uncorrelated with each other. The compensating effects that annihilate the latter were attributed to undulations of the Moho, which we estimated by inversion using GLQ integration and a mantle-to-crust density contrast of 400 kg/m(3) The inversion produced a Moho map with nearly 40 km of total relief that agrees very well with deep seismic refraction soundings. For East Antarctica, a bimodal variation in crustal thickness was found: the crustal wedge between the eastern Weddell Sea (similar or equal to 330 degrees E) and the eastern flank of the Gamburtsev Subglacial Mountains (similar or equal to 90 degrees E) has a mean thickness of about 37 km, whereas the mean crustal thickness is near 32 km for the northern half of the rest of East Antarctica up to the western flank of the Transantarctic Mountains (similar or equal to 150 degrees E). For West Antarctica and the oceanic regions, mean crustal thicknesses of about 30 km and 14 km, respectively, are inferred. The terrain-decorrelated free-air anomalies may be related to long-wavelength, large-amplitude subcrustal density variations and to much shorter-wavelength, smaller-amplitude intracrustal density variations.</t>
  </si>
  <si>
    <t>Ohio State Univ, Dept Geol Sci, Columbus, OH 43210 USA; Sejong Univ, Dept Earth Sci, Seoul 143747, South Korea; Univ Wisconsin, Dept Geol &amp; Geophys, Madison, WI 53707 USA</t>
  </si>
  <si>
    <t>University System of Ohio; Ohio State University; Sejong University; University of Wisconsin System; University of Wisconsin Madison</t>
  </si>
  <si>
    <t>von Frese, RRB (corresponding author), Ohio State Univ, Dept Geol Sci, Columbus, OH 43210 USA.</t>
  </si>
  <si>
    <t>vonfrese@osu.edu; litan@geology.ohio-state.edu; jwkim@sejong.ac.kr; bent-ley@geology.wisc.edu</t>
  </si>
  <si>
    <t>2169-9313</t>
  </si>
  <si>
    <t>2169-9356</t>
  </si>
  <si>
    <t>J GEOPHYS RES-SOL EA</t>
  </si>
  <si>
    <t>J. Geophys. Res.-Solid Earth</t>
  </si>
  <si>
    <t>NOV 10</t>
  </si>
  <si>
    <t>B11</t>
  </si>
  <si>
    <t>10.1029/1999JB900232</t>
  </si>
  <si>
    <t>255DE</t>
  </si>
  <si>
    <t>WOS:000083653600008</t>
  </si>
  <si>
    <t>Ferraccioli, F; Bozzo, E</t>
  </si>
  <si>
    <t>Inherited crustal features and tectonic blocks of the Transantarctic Mountains: An aeromagnetic perspective (Victoria Land, Antarctica)</t>
  </si>
  <si>
    <t>MARIE-BYRD-LAND; WEST ANTARCTICA; EAST ANTARCTICA; ROSS OROGEN; RIFT; UPLIFT; AUSTRALIA; PENINSULA; EVOLUTION; GONDWANA</t>
  </si>
  <si>
    <t>Aeromagnetic images covering a sector of the Transantarctic Mountains in Victoria Land as well as the adjacent Ross Sea are used to study possible relationships between tectonic blocks along the Cenozoic and Mesozoic West Antarctic rift shoulder and prerift features inherited mainly from the Paleozoic terranes involved in the Ross Orogen. The segmentation between the Prince Albert Mountains block and the Deep Freeze Range-Terra Nova Bay region is related to an inherited NW to NNW ice-covered boundary, which we name the central Victoria Land boundary. It is interpreted to be the unexposed, southern continuation of the Ross age back are Exiles thrust system recognized at the Pacific coast. The regional magnetic high to the west of the central Victoria Land boundary is attributed to Ross age calc-alkaline back are intrusives forming the in-board Wilson Terrane, thus shifting the previously interpreted Precambrian shield at least 100 km farther to the west. The high-frequency anomalies of the Prince Albert Mountains and beneath the Polar Plateau show that this region was extensively effected by Jurassic tholeiitic magmatism; NE to NNE trending magnetic lineations within this pattern could reflect Cretaceous and/or Cenozoic faulting. The western and eastern edges of the Deep Freeze Range block, which flanks the Mesozoic Rennick Graben, are marked by two NW magnetic lineaments following the Priestley and Campbell Faults. The Campbell Fault is interpreted to be the reactivated Wilson thrust fault zone and is the site of a major isotopic discontinuity in the basement. To the east of the Campbell Fault, much higher amplitude magnetic anomalies reveal mafic-ultramafic intrusives associated with the alkaline Meander Intrusive Group (Eocene-Miocene). These intrusives are likely genetically linked to the highly uplifted Southern Cross Mountains block. The NW-SE trends crossing the previously recognized ENE trending Polar 3 Anomaly offshore of the Southern Cross Mountains are probably linked to Cenozoic reactivation of the Paleozoic Wilson-Bowers suture zone as proposed from recent seismic interpretations. The ENE trend of the anomaly may also be structural, and if so, it could reflect an inherited fault zone of the cratonal margin.</t>
  </si>
  <si>
    <t>Univ Genoa, Dipartimento Studio Terr Risorse, I-16132 Genoa, Italy</t>
  </si>
  <si>
    <t>University of Genoa</t>
  </si>
  <si>
    <t>Univ Genoa, Dipartimento Studio Terr Risorse, Via Benedetto 15,5, I-16132 Genoa, Italy.</t>
  </si>
  <si>
    <t>magne@dipteris.unige.it</t>
  </si>
  <si>
    <t>Ferraccioli, Fausto/0000-0002-9347-4736</t>
  </si>
  <si>
    <t>10.1029/1998JB900041</t>
  </si>
  <si>
    <t>WOS:000083653600009</t>
  </si>
  <si>
    <t>Hulbe, CL; MacAyeal, DR</t>
  </si>
  <si>
    <t>A new numerical model of coupled inland ice sheet, ice stream, and ice shelf flow and its application to the West Antarctic Ice Sheet</t>
  </si>
  <si>
    <t>MASS-BALANCE; DYNAMICS; VELOCITY; SENSITIVITY; DRAG</t>
  </si>
  <si>
    <t>We have developed a dynamic/thermodynamic finite element numerical model that couples inland ice sheet, ice stream, and ice shelf dynamics. This new model stands apart from other whole ice sheet models in its explicit treatment of ice stream flow. Additionally, the model accounts for both horizontal and vertical advection and diffusion of temperature in the flowing ice. In present day simulations of the West Antarctic Ice Sheet (WAIS), modeled ice velocity agrees well with observed ice flow. In particular, the model reproduces the pattern of speed variation across ice streams although the continuous downstream speed up of ice flow cannot be reproduced without concurrent downstream variation in basal friction. Model thermodynamics, evaluated qualitatively by model prediction of the spatial distribution of basal melting and quantitatively by comparison with ice temperature measured in boreholes at several locations, are sound. In particular, the model reproduces the broad pattern of frozen-bed inter-ice stream ridges and melted-bed ice streams. Model initialization for long-time simulations is somewhat limited by computation time and by a thermodynamic feedback at sites of large viscous heating that can be a problem in heat balance only model initializations. Methods for averting those initialization problems are discussed. The new model can accommodate a variety of boundary conditions (such as various bed rheologies) and is well-suited to investigate the origin and evolution of WAIS ice streams within the context of the whole ice sheet system.</t>
  </si>
  <si>
    <t>Univ Chicago, Dept Geophys Sci, Chicago, IL 60637 USA</t>
  </si>
  <si>
    <t>University of Chicago</t>
  </si>
  <si>
    <t>Hulbe, CL (corresponding author), NASA, Goddard Space Flight Ctr, Code 971, Greenbelt, MD 20771 USA.</t>
  </si>
  <si>
    <t>chulbe@ice.gsfc.nasa.gov; drm7@midway.uchi-cago.edu</t>
  </si>
  <si>
    <t>Hulbe, Christina/0000-0003-4765-7037</t>
  </si>
  <si>
    <t>10.1029/1999JB900264</t>
  </si>
  <si>
    <t>Green Published, Bronze</t>
  </si>
  <si>
    <t>WOS:000083653600012</t>
  </si>
  <si>
    <t>Kay, RF; Madden, RH; Vucetich, MG; Carlini, AA; Mazzoni, MM; Re, GH; Heizler, M; Sandeman, H</t>
  </si>
  <si>
    <t>Revised geochronology of the Casamayoran South American land mammal age: Climatic and biotic implications</t>
  </si>
  <si>
    <t>PROCEEDINGS OF THE NATIONAL ACADEMY OF SCIENCES OF THE UNITED STATES OF AMERICA</t>
  </si>
  <si>
    <t>mammalian evolution; South America; Eocene; paleontology</t>
  </si>
  <si>
    <t>SALLA BEDS; LATE OLIGOCENE; BOLIVIA; ARGENTINA; DESEADAN; PALEONTOLOGY; STRATIGRAPHY; HERBIVORES; ANTARCTICA; CHRONOLOGY</t>
  </si>
  <si>
    <t>Isotopic age determinations (40Ar/39Ar) and associated magnetic polarity stratigraphy for Casamayoran age fauna at Gran Barranca (Chubut, Argentina) indicate that the Barrancan subage of the Casamayoran South American Land Mammal Age is late Eocene, 18 to 20 million years younger than hitherto supposed. Correlations of the radioisotopically dated magnetic polarity stratigraphy at Gran Barranca with the Cenozoic geomagnetic polarity time scale indicate that Barrancan faunal levels at the Gran Barranca date to within the magnetochronologic interval from 35.34 to 36.62 megannums (Ma) or 35.69 to 37.60 Ma. This age revision constrains the timing of an adaptive shift in mammalian herbivores toward hypsodonty. Specifically, the appearance of large numbers of hypsodont taxa in South America occurred sometime between 36 and 32 Ma (late Eocene-early Oligocene), at approximately the same time that other biotic and geologic evidence has suggested the Southern high latitudes experienced climatic cooling associated with Antarctic glaciation.</t>
  </si>
  <si>
    <t>Duke Univ, Med Ctr, Dept Biol Anthropol &amp; Anat, Durham, NC 27710 USA; Univ Nacl La Plata, Fac Ciencias Nat &amp; Museo, La Plata, Argentina; Univ Buenos Aires, Fac Ciencias Exactas &amp; Nat, Buenos Aires, DF, Argentina; New Mexico Inst Min &amp; Technol, Dept Earth &amp; Environm Sci, Socorro, NM 87801 USA; Queens Univ, Dept Geol Sci, Kingston, ON K7L 3N6, Canada</t>
  </si>
  <si>
    <t>Duke University; National University of La Plata; Museo La Plata; University of Buenos Aires; New Mexico Institute of Mining Technology; Queens University - Canada</t>
  </si>
  <si>
    <t>Duke Univ, Med Ctr, Dept Biol Anthropol &amp; Anat, Durham, NC 27710 USA.</t>
  </si>
  <si>
    <t>Rick_Madden@baa.mc.duke.edu</t>
  </si>
  <si>
    <t>Madden, Rob/AAC-2116-2021</t>
  </si>
  <si>
    <t>Sandeman, Hamish/0000-0002-2375-2243</t>
  </si>
  <si>
    <t>NATL ACAD SCIENCES</t>
  </si>
  <si>
    <t>2101 CONSTITUTION AVE NW, WASHINGTON, DC 20418 USA</t>
  </si>
  <si>
    <t>0027-8424</t>
  </si>
  <si>
    <t>1091-6490</t>
  </si>
  <si>
    <t>P NATL ACAD SCI USA</t>
  </si>
  <si>
    <t>Proc. Natl. Acad. Sci. U. S. A.</t>
  </si>
  <si>
    <t>NOV 9</t>
  </si>
  <si>
    <t>10.1073/pnas.96.23.13235</t>
  </si>
  <si>
    <t>255BJ</t>
  </si>
  <si>
    <t>Green Published</t>
  </si>
  <si>
    <t>WOS:000083649400049</t>
  </si>
  <si>
    <t>González-Solís, J; Becker, PH; Wendeln, H</t>
  </si>
  <si>
    <t>Divorce and asynchronous arrival in common terns, Sterna hirundo</t>
  </si>
  <si>
    <t>ANIMAL BEHAVIOUR</t>
  </si>
  <si>
    <t>PARENTAL QUALITY; REPRODUCTIVE SUCCESS; BREEDING BIOLOGY; EGG SIZE; AGE; GULL; REPEATABILITY; SURVIVAL; BIRDS; RATES</t>
  </si>
  <si>
    <t>We investigated which of three hypotheses (better option, incompatibility or asynchronous arrival) best explains divorce in the common tern. One partner did not return the next year in 18.5% of 150 pairs. Among the 106 pairs in which both mates returned, the divorce rate was 18.9%. We found no significant differences in: breeding performance or condition in relation to the probability of divorce; quality of previous mates and new mates,mean age in relation to pair bond status; breeding success before and after divorce nor did this differ from breeding success of reunited pairs. Hence the better option and incompatibility hypotheses were not supported. However, divorce was more likely in pairs in which mates arrived asynchronously on the breeding grounds, supporting the asynchronous arrival hypothesis. Median arrival asynchrony for divorced pairs was 7.5 days and for reunited pairs 2 days; mates arriving more than 16 days apart always split up. About 20% of divorced birds lost breeding status in the year of divorce, probably as a consequence of their late arrival. Our results suggest that terns search for a new mate as soon as they arrive on the breeding grounds and that mates remain faithful to each other to avoid the costs of searching for a new partner. Thus, synchrony in arrival facilitates pair bond maintenance rather than asynchrony promoting divorce, since divorce appears to be a side-effect of asynchrony and not an active decision. (C) 1999 The Association for the Study of Animal Behaviour.</t>
  </si>
  <si>
    <t>Inst Vogelforsch Vogelwarte Helgoland, D-26386 Wilhelmshaven, Germany</t>
  </si>
  <si>
    <t>British Antarctic Survey, Marine Life Sci Div, High Cross,Madingley Rd, Cambridge CB3 0ET, England.</t>
  </si>
  <si>
    <t>jacob@porthos.bio.ub.es</t>
  </si>
  <si>
    <t>Gonzalez-Solis, Jacob/C-3942-2008; González-Solís, Jacob/AAB-1161-2019</t>
  </si>
  <si>
    <t>Gonzalez-Solis, Jacob/0000-0002-8691-9397;</t>
  </si>
  <si>
    <t>ACADEMIC PRESS LTD- ELSEVIER SCIENCE LTD</t>
  </si>
  <si>
    <t>LONDON</t>
  </si>
  <si>
    <t>24-28 OVAL RD, LONDON NW1 7DX, ENGLAND</t>
  </si>
  <si>
    <t>0003-3472</t>
  </si>
  <si>
    <t>1095-8282</t>
  </si>
  <si>
    <t>ANIM BEHAV</t>
  </si>
  <si>
    <t>Anim. Behav.</t>
  </si>
  <si>
    <t>NOV</t>
  </si>
  <si>
    <t>10.1006/anbe.1999.1235</t>
  </si>
  <si>
    <t>Behavioral Sciences; Zoology</t>
  </si>
  <si>
    <t>260CA</t>
  </si>
  <si>
    <t>WOS:000083929700023</t>
  </si>
  <si>
    <t>Fox, NJ; Cowley, SWH; Davda, VN; Enno, G; Friis-Christensen, E; Greenwald, RA; Hairston, MR; Lester, M; Lockwood, M; Lühr, H; Milling, DK; Murphree, JS; Pinnock, M; Reeves, GD</t>
  </si>
  <si>
    <t>A multipoint study of a substorm occurring on 7 December, 1992, and its theoretical implications</t>
  </si>
  <si>
    <t>ANNALES GEOPHYSICAE-ATMOSPHERES HYDROSPHERES AND SPACE SCIENCES</t>
  </si>
  <si>
    <t>ionosphere (auroral ionosphere; plasma; convection); magnetospheric physics (storms and substorms)</t>
  </si>
  <si>
    <t>ENERGETIC PARTICLE MEASUREMENTS; CONVECTION PATTERNS; MAGNETOSPHERE; IONOSPHERE; 6.6-RE; RADARS</t>
  </si>
  <si>
    <t>On 7 December 1992, a moderate substorm was observed by a variety of satellites and ground-based instruments. Ionospheric flows were monitored near dusk by the Goose Bay HF radar and near midnight by the EISCAT radar. The observed flows are compared here with magnetometer observations by the IMAGE array in Scandinavia and the two Greenland chains, the auroral distribution observed by Freja and the substorm cycle observations by the SABRE radar, the SAMNET magnetometer array and LANL geosynchronous satellites. Data from Galileo Earth-encounter II are used to estimate the IMF B-z component. The data presented show that the substorm onset electrojet at midnight was confined to closed field lines equatorward of the preexisting convection reversal boundaries observed in the dusk and midnight regions. No evidence of substantial closure of open flux was detected following this substorm onset. Indeed the convection reversal boundary on the duskside continued to expand equatorward after onset due to the continued presence of strong southward IMF, such that growth and expansion phase features were simultaneously present. Clear indications of closure of open flux were not observed until a subsequent substorm intensification 25 min after the initial onset. After this time, the substorm auroral bulge in the nightside hours propagated well poleward of the pre-existing convection reversal boundary, and strong flow perturbations were observed by the Goose Bay radar, indicative of flows driven by reconnection in the tail.</t>
  </si>
  <si>
    <t>NASA, Goddard Space Flight Ctr, Extraterr Phys Lab, Greenbelt, MD 20771 USA; Univ Leicester, Dept Phys, Leicester LE1 7RH, Leics, England; Rutherford Appleton Lab, Didcot OX11 0QX, Oxon, England; Univ Calgary, Dept Phys &amp; Astron, Calgary, AB T2N 1N4, Canada; Danish Space Res Inst, DK-2100 Copenhagen, Denmark; Johns Hopkins Univ, Appl Phys Lab, Laurel, MD 20723 USA; Univ Texas, Richardson, TX 75080 USA; Geoforschungszentrum Potsdam, D-14473 Potsdam, Germany; Univ York, Dept Phys, York YO1 5DD, N Yorkshire, England; British Antarctic Survey, Cambridge CB3 0ET, England; Univ Calif Los Alamos Natl Lab, Los Alamos, NM 87545 USA</t>
  </si>
  <si>
    <t>National Aeronautics &amp; Space Administration (NASA); NASA Goddard Space Flight Center; University of Leicester; UK Research &amp; Innovation (UKRI); Science &amp; Technology Facilities Council (STFC); STFC Rutherford Appleton Laboratory; University of Calgary; Technical University of Denmark; Johns Hopkins University; Johns Hopkins University Applied Physics Laboratory; University of Texas System; University of Texas Dallas; Helmholtz Association; Helmholtz-Center Potsdam GFZ German Research Center for Geosciences; University of York - UK; UK Research &amp; Innovation (UKRI); Natural Environment Research Council (NERC); NERC British Antarctic Survey; United States Department of Energy (DOE); Los Alamos National Laboratory</t>
  </si>
  <si>
    <t>Fox, NJ (corresponding author), NASA, Goddard Space Flight Ctr, Extraterr Phys Lab, Greenbelt, MD 20771 USA.</t>
  </si>
  <si>
    <t>Lockwood, Mike/G-1030-2011; Fox, Nicola J/P-6692-2016; Reeves, Geoffrey/E-8101-2011</t>
  </si>
  <si>
    <t>Lockwood, Mike/0000-0002-7397-2172; Fox, Nicola J/0000-0003-3411-4228; Reeves, Geoffrey/0000-0002-7985-8098; Cowley, Stanley/0000-0002-4041-0034; Hairston, Marc/0000-0003-4524-4837; Greenwald, Raymond/0000-0002-7421-5536</t>
  </si>
  <si>
    <t>SPRINGER VERLAG</t>
  </si>
  <si>
    <t>NEW YORK</t>
  </si>
  <si>
    <t>175 FIFTH AVE, NEW YORK, NY 10010 USA</t>
  </si>
  <si>
    <t>0992-7689</t>
  </si>
  <si>
    <t>ANN GEOPHYS-ATM HYDR</t>
  </si>
  <si>
    <t>Ann. Geophys.-Atmos. Hydrospheres Space Sci.</t>
  </si>
  <si>
    <t>10.1007/s00585-999-1369-6</t>
  </si>
  <si>
    <t>Astronomy &amp; Astrophysics; Geosciences, Multidisciplinary; Meteorology &amp; Atmospheric Sciences</t>
  </si>
  <si>
    <t>Astronomy &amp; Astrophysics; Geology; Meteorology &amp; Atmospheric Sciences</t>
  </si>
  <si>
    <t>259DE</t>
  </si>
  <si>
    <t>Green Accepted, Green Submitted, gold</t>
  </si>
  <si>
    <t>WOS:000083878000002</t>
  </si>
  <si>
    <t>Menéndez, CG; Serafini, V; Le Treut, H</t>
  </si>
  <si>
    <t>The storm tracks and the energy cycle of the Southern Hemisphere:: sensitivity to sea-ice boundary conditions</t>
  </si>
  <si>
    <t>air-sea interactions; meteorology and atmospheric dynamics (climatology; ocean-atmosphere interactions)</t>
  </si>
  <si>
    <t>GENERAL-CIRCULATION MODEL; SEMIANNUAL OSCILLATION; ANTARCTIC WINTER; CLIMATE; VARIABILITY; SIMULATIONS; ATMOSPHERE; GCM</t>
  </si>
  <si>
    <t>The effect of sea-ice on various aspects of the Southern Hemisphere (SH) extratropical climate is examined. Two simulations using the LMD GCM are performed: a control run with the observed sea-ice distribution and an anomaly run in which all SH sea-ice is replaced by open ocean. When sea-ice is removed, the mean sea level pressure displays anomalies predominantly negatives near the Antarctic coast. In general, the meridional temperature gradient is reduced over most of the Southern Ocean. the polar jet is weaker and the sea level pressure rises equatorward of the control ice edge. The high frequency filtered standard deviation of both the sea level pressure and the 300-hPa geopotential height decreases over the southern Pacific and southwestern Atlantic oceans, especially to the north of the ice edge las prescribed in the control). In contrast, over the Indian Ocean the perturbed simulation exhibits less variability equatorward of about 50 degrees S and increased variability to the south. The zonal averages of the zonal and eddy potential and kinetic energies were evaluated. The effect of removing sea-ice is to diminish the available potential energy of the mean zonal flow, the available potential energy of the perturbations, the kinetic energy of the growing disturbances and the kinetic energy of the mean zonal flow over most of the Southern Ocean. The zonally averaged intensity of the subpolar trough and the rate of the baroclinic energy conversions are also weaker.</t>
  </si>
  <si>
    <t>Univ Buenos Aires, CONICET, Ctr Invest Mar &amp; Atmosfera, RA-1428 Buenos Aires, DF, Argentina; Univ Paris 06, CNRS, Meteorol Dynam Lab, F-75252 Paris 05, France</t>
  </si>
  <si>
    <t>Consejo Nacional de Investigaciones Cientificas y Tecnicas (CONICET); University of Buenos Aires; Sorbonne Universite; Centre National de la Recherche Scientifique (CNRS)</t>
  </si>
  <si>
    <t>Menéndez, CG (corresponding author), Univ Buenos Aires, CONICET, Ctr Invest Mar &amp; Atmosfera, Ciudad Univ,Pabellon 2,Piso 2, RA-1428 Buenos Aires, DF, Argentina.</t>
  </si>
  <si>
    <t>Menendez, Claudio Guillermo/0000-0002-2779-7123</t>
  </si>
  <si>
    <t>10.1007/s005850050872</t>
  </si>
  <si>
    <t>Green Submitted, gold</t>
  </si>
  <si>
    <t>WOS:000083878000011</t>
  </si>
  <si>
    <t>Matsuoka, K; Naruse, R</t>
  </si>
  <si>
    <t>Mass balance features derived from a firn core at Hielo Patagonico Norte, South America</t>
  </si>
  <si>
    <t>ARCTIC ANTARCTIC AND ALPINE RESEARCH</t>
  </si>
  <si>
    <t>SEA-LEVEL RISE; ICE CAP; GLACIER MELT; ICEFIELD; RECONSTRUCTIONS; MORENO; EVENTS; PERU</t>
  </si>
  <si>
    <t>Glaciological research was carried out in November and December 1996 in the accumulation area of Glacier Nef, an eastward-facing glacier from Hielo Patagonico Norte (Northern Patagonia Icefield), South America. A 14.5-m-deep firn core (9.7 m water equivalent: w.e.) was obtained at 1500 m a.s.l., and air temperature and melting rate were also measured. Values of delta(18)O of 1- or 2-cm-thick samples in the upper 6 m of the firn fluctuated from -16 to -10 parts per thousand, which are explained by variations in delta(18)O of precipitation. Below 6 m in the fim, delta(18)O was almost constant, due to percolation of large amounts of meltwater. It was considered that the upper 6 m was deposited during the prior winter; thus winter balance in 1996 was derived as +3.5 m w.e. Based on the measurement results and climatic data, winter and summer ablations were estimated at 0.0 and 3.4 m w.e., respectively, and summer accumulation at 2.1 m w.e. Then, net balance in the calendar year 1996 was estimated at about +2.2 m w.e. Comparison with previous studies and candidate drilling sites are also discussed.</t>
  </si>
  <si>
    <t>Hokkaido Univ, Inst Low Temp Sci, Kita Ku, Sapporo, Hokkaido 0600819, Japan</t>
  </si>
  <si>
    <t>Hokkaido University</t>
  </si>
  <si>
    <t>Hokkaido Univ, Inst Low Temp Sci, Kita Ku, Kita 19,Nishi 8, Sapporo, Hokkaido 0600819, Japan.</t>
  </si>
  <si>
    <t>matsuken@hhp2.lowtem.hokudai.ac.jp; ren@pop.lowtem.hokudai.ac.jp</t>
  </si>
  <si>
    <t>Matsuoka, Kenichi/B-7298-2017</t>
  </si>
  <si>
    <t>Matsuoka, Kenichi/0000-0002-3587-3405</t>
  </si>
  <si>
    <t>INST ARCTIC ALPINE RES</t>
  </si>
  <si>
    <t>BOULDER</t>
  </si>
  <si>
    <t>UNIV COLORADO, BOULDER, CO 80309 USA</t>
  </si>
  <si>
    <t>1523-0430</t>
  </si>
  <si>
    <t>1938-4246</t>
  </si>
  <si>
    <t>ARCT ANTARCT ALP RES</t>
  </si>
  <si>
    <t>Arct. Antarct. Alp. Res.</t>
  </si>
  <si>
    <t>10.2307/1552582</t>
  </si>
  <si>
    <t>Environmental Sciences; Geography, Physical</t>
  </si>
  <si>
    <t>Environmental Sciences &amp; Ecology; Physical Geography</t>
  </si>
  <si>
    <t>267GQ</t>
  </si>
  <si>
    <t>WOS:000084350100001</t>
  </si>
  <si>
    <t>Livingstone, DM; Lotter, AF; Walker, IR</t>
  </si>
  <si>
    <t>The decrease in summer surf are water temperature with altitude in Swiss Alpine lakes: A comparison with air temperature lapse rates</t>
  </si>
  <si>
    <t>PAST CLIMATIC-CHANGE; QUANTITATIVE INDICATORS; BREAK-UP; CANADA; RECONSTRUCTION; CHIRONOMIDAE; ASSEMBLAGES; DIATOMS; TOOL</t>
  </si>
  <si>
    <t>Using miniature thermistors with integrated data loggers, the decrease in summer lake surface water temperature (LSWT) with increasing altitude a.s.l. was investigated in 10 Swiss Alpine lakes located between 613 m a.s.l. and 2339 m a.s.l. The LSWTs exhibit essentially the same short-term structure as regional air temperature, but are about 3 to 5 degrees C higher than the air temperature at the altitude of the lake. LSWTs decrease approximately linearly with increasing altitude at a rate slightly greater than the surface air temperature lapse rate. Diel variations in LSWT are large, implying that single water temperature measurements are unlikely to be representative bf the mean. Local factors will affect LSWT more than they affect air temperature, possibly resulting in severe distortion of the empirical relationship between the two. Several implications for paleoclimate reconstruction studies result. (1) Paleolimnologically reconstructed LSWTs are likely to be higher than the air temperatures prevailing at the altitude of the lake. (2) Lakes used for paleoclimate reconstruction should be selected to minimize local effects on LSWT. (3) The calibration of organism-specific quantitative paleotemperature inference models should not be based on single water temperature measurements. (4) Consideration should be given to calibrating such models directly against air temperature rather than water temperature. (5) The primary climate effect on the aquatic biota of high-altitude lakes may be mediated by the timing of the ice cover.</t>
  </si>
  <si>
    <t>Swiss Fed Inst Environm Sci &amp; Technol EAWAG, Dept Environm Phys, CH-8600 Dubendorf, Switzerland; Univ Bern, Geobot Inst, CH-3013 Bern, Switzerland; Okanagan Univ Coll, Dept Biol, Kelowna, BC V1V 1V7, Canada; Okanagan Univ Coll, Okanagan Inst Freshwater Studies, Kelowna, BC V1V 1V7, Canada</t>
  </si>
  <si>
    <t>Swiss Federal Institutes of Technology Domain; Swiss Federal Institute of Aquatic Science &amp; Technology (EAWAG); University of Bern</t>
  </si>
  <si>
    <t>Livingstone, DM (corresponding author), Swiss Fed Inst Environm Sci &amp; Technol EAWAG, Dept Environm Phys, Uberlandstr 133, CH-8600 Dubendorf, Switzerland.</t>
  </si>
  <si>
    <t>Lotter, Andre F/C-3477-2008</t>
  </si>
  <si>
    <t>Lotter, Andre F/0000-0002-2954-8809</t>
  </si>
  <si>
    <t>10.2307/1552583</t>
  </si>
  <si>
    <t>Green Accepted</t>
  </si>
  <si>
    <t>WOS:000084350100002</t>
  </si>
  <si>
    <t>Gregory-Eaves, I; Smol, JP; Finney, BP; Edwards, ME</t>
  </si>
  <si>
    <t>Diatom-based transfer functions for inferring past climatic and environmental changes in Alaska, USA</t>
  </si>
  <si>
    <t>NORTHWEST-TERRITORIES CANADA; ARCTIC FENNOSCANDIAN LAKES; NORTHERN GREAT-PLAINS; FRESH-WATER DIATOMS; QUANTITATIVE INDICATORS; CHEMICAL LIMNOLOGY; BOREAL FOREST; ASSEMBLAGES; TEMPERATURE; SALINITY</t>
  </si>
  <si>
    <t>Surface sediment diatom assemblages from 51 Alaskan lakes, distributed along a north-south transect, were enumerated in order to develop transfer functions that could be used to make inferences of past climatic and environmental change. Environmental variables that were found to be the strongest predictors of the diatom assemblages, identified through Canonical Correspondence Analyses, were ionic and nutrient concentrations, as well as lake depth. A number of weighted-averaging (WA) regression-calibration techniques were employed to develop transfer functions for lake-water conductivity, total phosphorus concentration, and lake depth, but simple WA with classical deshrinking produced the most robust models for all variables. The strength of these models (r(boot)(2) ranged between 0.52 and 0.53) is comparable to those generated from other northern calibration studies. Application of our models to fossil diatom assemblages could provide information on the magnitude of past environmental change, and may serve as a basis for assessing anthropogenically induced impacts.</t>
  </si>
  <si>
    <t>Queens Univ, Dept Biol, PEARL, Kingston, ON K7L 3N6, Canada; Univ Alaska, Inst Marine Sci, Fairbanks, AK 99775 USA; Univ Alaska, Inst Arctic Biol, Fairbanks, AK 99775 USA; Norwegian Univ Sci &amp; Technol, Inst Geog, N-7055 Dragvoll, Norway</t>
  </si>
  <si>
    <t>Queens University - Canada; University of Alaska System; University of Alaska Fairbanks; University of Alaska System; University of Alaska Fairbanks; Norwegian University of Science &amp; Technology (NTNU)</t>
  </si>
  <si>
    <t>Queens Univ, Dept Biol, PEARL, Kingston, ON K7L 3N6, Canada.</t>
  </si>
  <si>
    <t>gregoryr@biology.queensu.ca</t>
  </si>
  <si>
    <t>Gregory-Eaves, Irene/U-9325-2019; Smol, John P/A-8838-2015</t>
  </si>
  <si>
    <t>Gregory-Eaves, Irene/0000-0002-0380-5061; Smol, John/0000-0002-2499-6696</t>
  </si>
  <si>
    <t>10.2307/1552584</t>
  </si>
  <si>
    <t>WOS:000084350100003</t>
  </si>
  <si>
    <t>Anderson, RS; Hasbargen, J; Koehler, PA; Feiler, EJ</t>
  </si>
  <si>
    <t>Late Wisconsin and Holocene subalpine forests of the Markagunt Plateau of Utah, southwestern Colorado Plateau, USA</t>
  </si>
  <si>
    <t>GREAT-SALT-LAKE; WESTERN UNITED-STATES; WASATCH MOUNTAINS; POLLEN; VEGETATION; CLIMATE; REPRESENTATION; TIMBERLINE; SEDIMENTS; HISTORY</t>
  </si>
  <si>
    <t>The vegetation and climatic history of subalpine forests on the Colorado Plateau is documented from Lowder Creek Bog and Alpine Pond on the Markagunt Plateau. Pollen and macrofossil data demonstrate substantial changes at sites above 3150 m elevation during the last ca. 13,000 yr. During and after Late Wisconsin deglaciation, subalpine tree species (Picea engelmannii and Abies lasiocarpa) were rare or absent near the Lowder Creek Bog site, but nonarboreal species predominated. P. engelmannii-A. lasiocarpa forest became well-established there between 11,000 and 9800 yr BP and subalpine trees dominated this elevation throughout the Holocene. By ca. 8500 yr BP, however, Picea declined somewhat, with minimal pollen and macrofossil deposition occurring between ca. 8500 and 6400 yr BP. Picea trees may have thinned during this time or Picea may have expanded to higher elevations during this part of the Holocene, while Pinus ponderosa expanded at lower elevations. These changes were probably driven by warmer conditions with variable precipitation. Alternative explanations include hydroseral changes within the bog, or insect infestation on Picea. After ca. 6400 yr BP, more consistent Picea pollen influx suggests renewed importance around the bog, which has been maintained until the present. Abies lasiocarpa became more important after ca. 2700 yr ago. The pollen sequence supports an interpretation of high effective precipitation during the early Holocene, followed by warmer temperatures and somewhat variable precipitation after ca. 8500 yr BP. This sequence is most similar to other sites on and near the western, southern, and northeastern Colorado Plateau, where the maximum influence of monsoon activity may have declined by the end of the early Holocene. Declines in summer insolation probably contributed to Late Holocene cooling, with increasing effective precipitation at most sites, including Lowder Creek Bog.</t>
  </si>
  <si>
    <t>No Arizona Univ, Ctr Environm Sci &amp; Educ, Flagstaff, AZ 86011 USA; No Arizona Univ, Quaternary Studies Program, Flagstaff, AZ 86011 USA; No Arizona Univ, Bilby Res Ctr, Flagstaff, AZ 86011 USA</t>
  </si>
  <si>
    <t>Northern Arizona University; Northern Arizona University; Northern Arizona University</t>
  </si>
  <si>
    <t>Anderson, RS (corresponding author), No Arizona Univ, Ctr Environm Sci &amp; Educ, Box 5694, Flagstaff, AZ 86011 USA.</t>
  </si>
  <si>
    <t>10.2307/1552585</t>
  </si>
  <si>
    <t>WOS:000084350100004</t>
  </si>
  <si>
    <t>Moir, WH; Rochelle, SG; Schoettle, AW</t>
  </si>
  <si>
    <t>Microscale patterns of tree establishment near upper treeline, Snowy Range, Wyoming, USA</t>
  </si>
  <si>
    <t>CANONICAL CORRESPONDENCE-ANALYSIS; MOUNTAIN NATIONAL-PARK; FOREST-TUNDRA ECOTONE; SUB-ALPINE MEADOWS; CLIMATE-CHANGE; GRADIENT ANALYSIS; SPATIAL VARIATION; COLORADO; VEGETATION; REGENERATION</t>
  </si>
  <si>
    <t>We report tree seedling (mostly Picea engelmannii, some Abies lasiocarpa, very infrequent Pinus contorta) invasion into meadows at upper timberline in the Snowy Range, Wyoming, from 1994 to 1996. We used gradient analysis to relate this to environmental patterns, particularly plant community structure (as aggregates of plant life-forms) and persistence of snowpack in 1995 and 1996. Tree seedlings established best at sites where snow melted earliest; the site with the shortest growing season had fewest seedlings. Microsites dominated by vascular plants admitted few or no seedlings; seedlings were most likely to be found where cryptogams dominated. These findings have implications for forest advance under some climate scenarios and successional hypotheses.</t>
  </si>
  <si>
    <t>US Forest Serv, USDA, Rocky Mt Res Stn, Flagstaff, AZ 86001 USA; US Forest Serv, USDA, Rocky Mt Res Stn, Ft Collins, CO 80526 USA</t>
  </si>
  <si>
    <t>United States Department of Agriculture (USDA); United States Forest Service; United States Department of Agriculture (USDA); United States Forest Service</t>
  </si>
  <si>
    <t>US Forest Serv, USDA, Rocky Mt Res Stn, 2500 S Pine Knoll Dr, Flagstaff, AZ 86001 USA.</t>
  </si>
  <si>
    <t>whmoir@infomagic.com</t>
  </si>
  <si>
    <t>10.2307/1552586</t>
  </si>
  <si>
    <t>WOS:000084350100005</t>
  </si>
  <si>
    <t>Forbes, BC; Sumina, OI</t>
  </si>
  <si>
    <t>Comparative ordination of low arctic vegetation recovering from disturbance: Reconciling two contrasting approaches for field data collection</t>
  </si>
  <si>
    <t>PLANT-COMMUNITIES; TUNDRA VEGETATION; PENINSULA; RUSSIA; CLASSIFICATION; SUBSTRATE; SIBERIA; CANADA; ISLAND; ALASKA</t>
  </si>
  <si>
    <t>Multivariate statistics are applied to data on low arctic flora and vegetation in an effort to compare and interpret information derived from contrasting field methods normally considered to be incompatible. Data were collected using two of the most widespread field techniques currently in use in the circumpolar North: (1) standardized sampling, using a point frame-based protocol; and (2) more traditional phytosociological methods. The comparison is based on simultaneous objective (quantitative) and subjective (qualitative) sampling of identical stands of vegetation at and north of the latitudinal treeline in the Yamal Region of Northwest Siberia. The species composition of vegetation on anthropogenic primary surfaces is emphasized, but undisturbed tundra was also sampled. One hundred and sixty-five quadrats (1 x 1 m) were analyzed together with 33 releves (5 x 5 m) using detrended correspondence analysis (DCA). The ordination results revealed very good correlation within anthropogenic vegetation stands. However, in ordination diagrams derived from samples within undisturbed tundra, samples were clearly separated based on quadrat size because many non vascular taxa were missed in the large quadrats.</t>
  </si>
  <si>
    <t>Univ Lapland, Arctic Ctr, FIN-96101 Rovaniemi, Finland; St Petersburg State Univ, Dept Biol &amp; Soil Sci, St Petersburg 199034, Russia</t>
  </si>
  <si>
    <t>University of Lapland; Saint Petersburg State University</t>
  </si>
  <si>
    <t>Univ Lapland, Arctic Ctr, FIN-96101 Rovaniemi, Finland.</t>
  </si>
  <si>
    <t>bforbes@levi.urova.fi</t>
  </si>
  <si>
    <t>Forbes, Bruce C./L-4431-2013; Sumina, Olga I./B-2298-2014</t>
  </si>
  <si>
    <t>Forbes, Bruce C./0000-0002-4593-5083;</t>
  </si>
  <si>
    <t>10.2307/1552587</t>
  </si>
  <si>
    <t>WOS:000084350100006</t>
  </si>
  <si>
    <t>Huss-Danell, K; Sverrisson, H; Hahlin, AS; Danell, K</t>
  </si>
  <si>
    <t>Occurrence of Alnus-infective Frankia and Trifolium-infective Rhizobium in circumpolar soils</t>
  </si>
  <si>
    <t>N-2 FIXATION; DISPERSAL; STRAINS</t>
  </si>
  <si>
    <t>A survey was made of the occurrence of Frankia, infective on Alnus, in some 40 soils from the whole circumpolar area. Some of these soils were also tested for the occurrence of Rhizobium infective on Trifolium pratense. Infectivity tests were performed by growing test seedlings in soil or soil suspensions. Frankia was detected only in very few soils, in spite of extended experimental periods. When nodulation took place, nodulation was observed in few test plants. Several of nodulated test seedlings never turned green, suggesting that Frankia was ineffective in N-2 fixation. An exception was soil from a site in the Faeroe Islands where nodulated Alnus had been introduced. This soil showed high nodulation ability and N-2 fixation was likely. It is suggested that lack of infective Frankia in the circumpolar soils studied may be because Frankia had not been spread to these sites, but does not necessarily mean that soil conditions are negative for Frankia. Infective Rhizobium was rare in the soils studied. Lack of infective root nodule bacteria in potential sites for soil reclamation calls for the need to inoculate the plants and also provides the opportunity for introduction of selected bacterial strains without competition from an endogeneous soil microflora.</t>
  </si>
  <si>
    <t>Swedish Univ Agr Sci, Dept Agr Res No Sweden, Crop Sci Sect, S-90403 Umea, Sweden; Agr Res Inst, IS-112 Reykjavik, Iceland; Swedish Univ Agr Sci, Dept Anim Ecol, S-90183 Umea, Sweden</t>
  </si>
  <si>
    <t>Swedish University of Agricultural Sciences; Swedish University of Agricultural Sciences</t>
  </si>
  <si>
    <t>Huss-Danell, K (corresponding author), Swedish Univ Agr Sci, Dept Agr Res No Sweden, Crop Sci Sect, S-90403 Umea, Sweden.</t>
  </si>
  <si>
    <t>10.2307/1552588</t>
  </si>
  <si>
    <t>WOS:000084350100007</t>
  </si>
  <si>
    <t>Gómez-García, D; Giannoni, SM; Reiné, R; Borghi, CE</t>
  </si>
  <si>
    <t>Movement of seeds by the burrowing activity of mole-voles on disturbed soil mounds in the Spanish pyrenees</t>
  </si>
  <si>
    <t>FUGITIVE PRAIRIE PLANTS; TEXAS COASTAL PRAIRIE; POCKET GOPHER MOUNDS; VEGETATION; COMMUNITIES; COMPETITION</t>
  </si>
  <si>
    <t>Three species of Microtus (voles) living in Pyrenean subalpine pastures brought seeds to the surface on vole mounds. This activity was studied to learn about the voles' influence on seed composition and vegetation gap colonization. Twenty-two plant species germinated from seed in the soil mounds. The plant composition of pastures was dominated by graminoids-hemicryptophytes. Nearly half of the seeds that occurred in mounds are of annual dicots able to quickly colonize the gaps and complete their vegetative cycle before the entry of perennial plants. Mound revegetation occurs chiefly by means of vegetative reproduction strategies. Nevertheless germination of seed brought to the surface can be important at the early stages of colonization after soil disturbance. Thus, such disturbances increase short-term plant diversity and patch heterogeneity.</t>
  </si>
  <si>
    <t>CSIC, Inst Pirenaico Ecol, E-22700 Jaca, Huesca, Spain</t>
  </si>
  <si>
    <t>Consejo Superior de Investigaciones Cientificas (CSIC); CSIC - Instituto Pirenaico de Ecologia (IPE)</t>
  </si>
  <si>
    <t>Gómez-García, D (corresponding author), CSIC, Inst Pirenaico Ecol, Apdo 64, E-22700 Jaca, Huesca, Spain.</t>
  </si>
  <si>
    <t>Reiné, Ramón/ABA-7030-2020</t>
  </si>
  <si>
    <t>Borghi, Carlos Eduardo/0000-0002-3726-6000; Giannoni, Stella/0000-0003-3552-6611</t>
  </si>
  <si>
    <t>10.2307/1552589</t>
  </si>
  <si>
    <t>WOS:000084350100008</t>
  </si>
  <si>
    <t>Selkirk, JM; Saffigna, LJ</t>
  </si>
  <si>
    <t>Wind and water erosion of a peat and sand area on subantarctic Macquarie Island</t>
  </si>
  <si>
    <t>This study presents rates of geomorphic processes on subantarctic Macquarie Island (54 degrees 30'S, 155 degrees 55'E) over a 3.3-yr period associated with erosion of a mixed sand and peat substrate at a site 180 m above sea level. Erosion pins were used to measure lowering of up to 43 mm yr(-1) in the northern section of the site and accretion of 28 mm yr(-1) in the southern section of the site. The present area of exposed sand and peat was compared with that in 1976 from aerial photography, which revealed the influence of the prevailing wind direction and the slope of the site. A thermoluminescence date of 22,100 +/- 2800 yr BP (W2193) from sand and a radiocarbon date from peat of 1530 +/- 30 yr BP (beta-94180) allowed partial reconstruction of environmental conditions at the site during the last 22,000 yr.</t>
  </si>
  <si>
    <t>Macquarie Univ, Grad Sch Environm, N Ryde, NSW 2109, Australia; Tasmanian Pk &amp; Wildlife Serv, Hobart, Tas 7001, Australia</t>
  </si>
  <si>
    <t>Macquarie University</t>
  </si>
  <si>
    <t>Selkirk, JM (corresponding author), Macquarie Univ, Grad Sch Environm, N Ryde, NSW 2109, Australia.</t>
  </si>
  <si>
    <t>10.2307/1552590</t>
  </si>
  <si>
    <t>WOS:000084350100009</t>
  </si>
  <si>
    <t>Matthews, JA; Shakesby, RA; McEwen, LJ; Berrisford, MS; Owen, G; Bevan, P</t>
  </si>
  <si>
    <t>Alpine debris-flows in Leirdalen, Jotunheimen, Norway, with particular reference to distal fans, intermediate-type deposits, and flow types</t>
  </si>
  <si>
    <t>The landforms and deposits associated with AD 1996 debris-flows at three sites in the low-alpine zone, Jotunheimen, southern Norway, are described and analyzed. Parallel levees, composed of diamicton, occur on the valley-side slopes but distinct frontal lobes are absent: instead, low-angle fans, up to about 50 m wide and ca. 500 m long have overridden vegetation in the footslope zone and in the valley bottom. Five facies are recognized in the fans: (1) cobble-rich diamicton, up to 50 cm thick; (2) pebble-rich diamicton, typically up to 30 cm thick; (3) pebbly sand lenses, up to about 15 cm thick; (4) massive silty sand or sandy silt (intermediate-type deposits) of thickness 5-15 cm; and (5) laminated fine sands and silts (typically a few cm thick). These succeed one another in a vertical and lateral sense. The landform-sediment assemblage and proximal-distal trends are explained by a four-stage model of an integrated debris-flow event in which (1) slope failure and sediment disaggregation are followed sequentially by (2) debris flow sensu stricto (cohesive debris flow), (3) wet mudflow or hyperconcentrated flow, and (4) water flow. Debris flow sensu stricto accounts for an estimated 48 to 51%, wet mudflow/hyperconcentrated flow 21 to 26%, and water flow 24 to 31%, by volume of material mobilized during each debris-flow event at two of the sites. Results highlight the potential complexity of debris-flow events and the importance of the associated relatively fine-grained intermediate-type deposits with little or no structure, which are attributed here to wet mudflow and/or hyperconcentrated flow. Water-lain deposits, also integral to the debris-flow event, tend to be thinner and finer, better sorted, and distinctly laminated.</t>
  </si>
  <si>
    <t>Univ Wales, Dept Geog, Holocene Res Grp, Swansea SA2 8PP, W Glam, Wales; Cheltenham &amp; Gloucester Coll Higher Educ, Dept Geog &amp; Geol, Cheltenham GL50 4AZ, Glos, England</t>
  </si>
  <si>
    <t>University of Gloucestershire</t>
  </si>
  <si>
    <t>Matthews, JA (corresponding author), Univ Wales, Dept Geog, Holocene Res Grp, Singleton Pk, Swansea SA2 8PP, W Glam, Wales.</t>
  </si>
  <si>
    <t>10.2307/1552591</t>
  </si>
  <si>
    <t>WOS:000084350100010</t>
  </si>
  <si>
    <t>Hall, K; Boelhouwers, J; Driscoll, K</t>
  </si>
  <si>
    <t>Animals as erosion agents in the alpine zone: Some data and observations from Canada, Lesotho, and Tibet</t>
  </si>
  <si>
    <t>PORCUPINE DIGGINGS; DESERT; NEGEV; ENVIRONMENT; VEGETATION; MOUNTAINS; ISRAEL; CHINA</t>
  </si>
  <si>
    <t>Animals can exert a very strong impact on erosion and sediment transport in the alpine. Although the alpine is recognized for its abundance of animals, animal-soil erosion interactions have been poorly studied. Animals exert a direct influence through their burrowing and digging for food and also indirectly by opening the ground to climatic and geomorphic influences, e.g. rain splash, needle ice, and wind erosion. It is this synergy that is important for alpine erosion. Because the alpine zone is subject to freezing, frost action, and snow melt, exposed sediments and/or the availability of drainage through burrows can have a marked effect on sediment transport and slopes. On the steeper, less stable alpine slopes, the effects of loading can cause failure that produces arcuate slip scars, the exposed faces of which can also be exploited by geomorphic processes. In an attempt to study the effect of animals in the alpine zone, measurements of burrowing and digging based on quadrats (5 m x 5 m) along several transects were made in the alpine zone of the Rocky Mountains of Canada. Results indicated an average of 0.0243 m(3) 25 m(-2) sediment displaced due to digging by rodents and a conservative estimation of sediment removal by rodents varying between 600 and 0.6408 m(3) km(-2) yr(-1). Grizzly bears exerted the greatest erosional impact with as much as 0.4958 m(3) 25 m(-2) being measured. Observations (and limited measurements) relating to the impact of animals on the landscape were also obtained from Lesotho and Tibet. These preliminary findings are presented in an attempt to exemplify the various and interrelated effects of animals, climate and geomorphic process for the alpine. It is suggested that significantly more studies are urgently needed as the situation may be exacerbated by climatic warming and/or by the expansion of pastoralism resulting from attempts at sustainable development in developing nations. The impact of animals is an unquantified factor in many development studies, in geomorphic studies in polar or high altitude environments, and in management plans for national parks or the exploitation of natural resources (e.g. through logging).</t>
  </si>
  <si>
    <t>Univ No British Columbia, Geog Programme, Prince George, BC V2N 4Z9, Canada; Univ Western Cape, Dept Earth Sci, Cape Town, South Africa</t>
  </si>
  <si>
    <t>University of Northern British Columbia; University of the Western Cape</t>
  </si>
  <si>
    <t>Hall, K (corresponding author), Univ No British Columbia, Geog Programme, Univ Way, Prince George, BC V2N 4Z9, Canada.</t>
  </si>
  <si>
    <t>Boelhouwers, Jan/A-6435-2009</t>
  </si>
  <si>
    <t>10.2307/1552592</t>
  </si>
  <si>
    <t>WOS:000084350100011</t>
  </si>
  <si>
    <t>[Anonymous]</t>
  </si>
  <si>
    <t>Anesthesia in the Antarctic</t>
  </si>
  <si>
    <t>CANADIAN JOURNAL OF ANAESTHESIA-JOURNAL CANADIEN D ANESTHESIE</t>
  </si>
  <si>
    <t>News Item</t>
  </si>
  <si>
    <t>SPRINGER</t>
  </si>
  <si>
    <t>233 SPRING ST, NEW YORK, NY 10013 USA</t>
  </si>
  <si>
    <t>0832-610X</t>
  </si>
  <si>
    <t>CAN J ANAESTH</t>
  </si>
  <si>
    <t>Can. J. Anaesth.-J. Can. Anesth.</t>
  </si>
  <si>
    <t>Anesthesiology</t>
  </si>
  <si>
    <t>253FV</t>
  </si>
  <si>
    <t>WOS:000083546600022</t>
  </si>
  <si>
    <t>Goddard, SV; Kao, MH; Fletcher, GL</t>
  </si>
  <si>
    <t>Population differences in antifreeze production cycles of juvenile Atlantic cod (Gadus morhua) reflect adaptations to overwintering environment</t>
  </si>
  <si>
    <t>CANADIAN JOURNAL OF FISHERIES AND AQUATIC SCIENCES</t>
  </si>
  <si>
    <t>NORTHEAST NEWFOUNDLAND SHELF; WINTER FLOUNDER; PROTEIN GENES; MACROZOARCES-AMERICANUS; ANTARCTIC FISHES; OCEAN POUT; PEPTIDES; LARVAE; EGGS; GLYCOPEPTIDES</t>
  </si>
  <si>
    <t>Four groups of juvenile Atlantic cod (Gadus morhua) were collected in summer (1992) from four coastal sites of northeast Newfoundland. They were held together at seasonally ambient temperature and photoperiod and monitored over one winter for variation in a biochemical phenotype, antifreeze production capacity. Our results show that population differences in antifreeze production capacity reflect the severity of overwintering conditions faced. Cod from three bays along the northeast coast (49 degrees 30'-47 degrees 30' N) exhibited very similar patterns of antifreeze production, suggesting that these environments demand from their cod inhabitants approximately the same high level of freeze resistance. However, cod from the most exposed northerly site at the tip of the Great Northern Peninsula (51 degrees 30' N) developed antifreeze levels about 50% higher than those of the other three groups, confirming that the more extreme high-latitude environment demands even greater freeze protection for survival. Since 34% of Great Northern Peninsula cod produced antifreeze levels outside the range of all other juveniles, we suggest that the physiological distinctness of this population has evolved by genetic amplification of antifreeze production capacity rather than by selective mortality. The existence of physiological population structure should be factored into strategies for sustainable fishing of this species in northern waters.</t>
  </si>
  <si>
    <t>Mem Univ Newfoundland, Ctr Ocean Sci, St Johns, NF A1C 5S7, Canada; Mem Univ Newfoundland, Dept Biol, St Johns, NF A1C 5S7, Canada</t>
  </si>
  <si>
    <t>Memorial University Newfoundland; Memorial University Newfoundland</t>
  </si>
  <si>
    <t>Goddard, SV (corresponding author), Mem Univ Newfoundland, Ctr Ocean Sci, St Johns, NF A1C 5S7, Canada.</t>
  </si>
  <si>
    <t>NATL RESEARCH COUNCIL CANADA</t>
  </si>
  <si>
    <t>OTTAWA</t>
  </si>
  <si>
    <t>RESEARCH JOURNALS, MONTREAL RD, OTTAWA, ONTARIO K1A 0R6, CANADA</t>
  </si>
  <si>
    <t>0706-652X</t>
  </si>
  <si>
    <t>CAN J FISH AQUAT SCI</t>
  </si>
  <si>
    <t>Can. J. Fish. Aquat. Sci.</t>
  </si>
  <si>
    <t>10.1139/cjfas-56-11-1991</t>
  </si>
  <si>
    <t>Fisheries; Marine &amp; Freshwater Biology</t>
  </si>
  <si>
    <t>253GD</t>
  </si>
  <si>
    <t>WOS:000083547400002</t>
  </si>
  <si>
    <t>Hindell, MA; McConnell, BJ; Fedak, MA; Slip, DJ; Burton, HR; Reijnders, PJH; McMahon, CR</t>
  </si>
  <si>
    <t>Environmental and physiological determinants of successful foraging by naive southern elephant seal pups during their first trip to sea</t>
  </si>
  <si>
    <t>CANADIAN JOURNAL OF ZOOLOGY-REVUE CANADIENNE DE ZOOLOGIE</t>
  </si>
  <si>
    <t>PHOCA-HISPIDA PUPS; MIROUNGA-LEONINA; DIVING BEHAVIOR; WATER TEMPERATURE; SLEEP-APNEA; INVESTMENT; PINNIPEDS; GEORGIA; WHALES; MASS</t>
  </si>
  <si>
    <t>The ability to forage successfully during their first trip to sea is fundamental to the ultimate survival of newly weaned southern elephant seals (Mirounga leonina). However, there is considerable variation in the body mass and fat content of seal pups at weaning, which results in some individuals having larger energy and oxygen stores than others, which may confer advantages on them. The diving behaviour of 21 newly weaned seals was studied using satellite relayed data loggers. Seals were captured at Macquarie Island in December 1995 and 1996, approximately 4 weeks after weaning. Two groups of seals were specifically targeted: a heavy group from the top quartile of weaning masses (n = 6) and a light group from the lower quartile (n = 15). Most of the seals made dives in excess of 100 m depth and 5 min before final departure from the island. However, for the first 60-80 d, all of the seals exhibited behaviour quite distinct from the patterns reported for older conspecifics, and made relatively shallow (100 +/- 39 m; mean +/- SD) and short (5.7 +/- 1.23 min) dives. During this time the seals spent 74.3 +/- 12.6% of each day diving, and the depth of the dives did not follow any diurnal pattern. The diving behaviour of all seals changed abruptly when they started on their return to land. During this time their behaviour was more like that of adults: they made deeper (159 +/- 9 m) and longer dives (9.01 +/- 1.69 min) than previously, and the dives showed a strong diurnal pattern in depth. There is no obvious explanation for this change in behaviour, although its abrupt nature suggests that it is unlikely to have been due to physiological changes in the seals. The size of the seals at weaning was an important influence on diving behaviour. Heavy weaners made significantly deeper (130 +/- 40 m) and longer dives (7.36 +/- 0.55 min) than light weaners (88 +/- 32 m and 5.04 +/- 0.64 min, respectively). This indicates that smaller seals are constrained to some extent by their physiological capabilities, which perhaps requires some individuals to adopt different foraging strategies.</t>
  </si>
  <si>
    <t>Univ Tasmania, Dept Zool, Hobart, Tas 7001, Australia; Univ St Andrews, Gatty Marine Lab, Sea Mammal Res Unit, St Andrews KY16 8LB, Fife, Scotland; Australian Antarctic Div, Kingston, Tas 7050, Australia; Inst Forestry &amp; Nat Res, Dept Aquat Ecosyst, NL-1790 AD Den Burg, Netherlands</t>
  </si>
  <si>
    <t>University of Tasmania; University of St Andrews; Australian Antarctic Division</t>
  </si>
  <si>
    <t>Hindell, MA (corresponding author), Univ Tasmania, Dept Zool, POB 252C, Hobart, Tas 7001, Australia.</t>
  </si>
  <si>
    <t>Hindell, Mark A/K-1131-2013; Hindell, Mark A/C-8368-2013; McMahon, Clive R/D-5713-2013; Fedak, Michael/B-3987-2009</t>
  </si>
  <si>
    <t>McMahon, Clive R/0000-0001-5241-8917; Slip, David/0000-0002-9010-7236; reijnders, peter/0000-0002-3783-8283; Fedak, Michael/0000-0002-9569-1128; Hindell, Mark/0000-0002-7823-7185</t>
  </si>
  <si>
    <t>0008-4301</t>
  </si>
  <si>
    <t>CAN J ZOOL</t>
  </si>
  <si>
    <t>Can. J. Zool.-Rev. Can. Zool.</t>
  </si>
  <si>
    <t>10.1139/cjz-77-11-1807</t>
  </si>
  <si>
    <t>276HY</t>
  </si>
  <si>
    <t>WOS:000084873200016</t>
  </si>
  <si>
    <t>Jiménez, B; Fossi, MC; Nigro, M; Focardi, S</t>
  </si>
  <si>
    <t>Biomarker approach to evaluating the impact of scientific stations on the antarctic environment using Trematomus bernacchii as a bioindicator organism.</t>
  </si>
  <si>
    <t>CHEMOSPHERE</t>
  </si>
  <si>
    <t>FISH; SEA</t>
  </si>
  <si>
    <t>A biomonitoring study was performed to evaluate the human impact on two small coves adjacent to the Italian Scientific Station at Terra Nova Bay in November 1995. The study used the fish species Trematomus bernacchii as a bioindicator organism for a biomarker analysis based on porphyrin levels, and BPMO (Benzo(a)pyrene MonoOxygenase) and EROD (Ethoxyresorufin-O-deethylase) activities. Porphyrin levels and EROD and BPMO activities were found to be generally low. In contrast to previous years, no statistically significant difference was found between the potentially contaminated cove and the control cove after the Italian expedition had been active nearby for a period of one month. This indicates a marked decrease in certain types of contaminants such as organochlorines and trace metals, mainly due to improvements in waste disposal. (C)1999 Elsevier Science Ltd. All rights reserved.</t>
  </si>
  <si>
    <t>Univ Siena, Dipartimento Biol Ambientale, I-53100 Siena, Italy; CSIC, Inst Quim Organ, Dept Instrumental Anal &amp; Environm Chem, E-28006 Madrid, Spain; Univ Pisa, Dipartimento Biomed, I-56126 Pisa, Italy</t>
  </si>
  <si>
    <t>University of Siena; Consejo Superior de Investigaciones Cientificas (CSIC); CSIC - Instituto de Quimica Organica General (IQOG); University of Pisa</t>
  </si>
  <si>
    <t>Jiménez, B (corresponding author), Univ Siena, Dipartimento Biol Ambientale, Via Cerchia 3, I-53100 Siena, Italy.</t>
  </si>
  <si>
    <t>Jiménez, Begoña/C-6324-2012</t>
  </si>
  <si>
    <t>Jiménez, Begoña/0000-0002-2401-4648; Fossi, Maria Cristina/0000-0003-0836-4020</t>
  </si>
  <si>
    <t>0045-6535</t>
  </si>
  <si>
    <t>Chemosphere</t>
  </si>
  <si>
    <t>10.1016/S0045-6535(99)00137-X</t>
  </si>
  <si>
    <t>Environmental Sciences</t>
  </si>
  <si>
    <t>Environmental Sciences &amp; Ecology</t>
  </si>
  <si>
    <t>241UC</t>
  </si>
  <si>
    <t>WOS:000082900100008</t>
  </si>
  <si>
    <t>Tschu, KK; Hong, MH</t>
  </si>
  <si>
    <t>On aurora australis research</t>
  </si>
  <si>
    <t>CHINESE JOURNAL OF GEOPHYSICS-CHINESE EDITION</t>
  </si>
  <si>
    <t>Chinese</t>
  </si>
  <si>
    <t>aurora; Antarctic; key problems; review</t>
  </si>
  <si>
    <t>This paper consists of two parts. The first part gives an account of reviewing the work already done for the aurora borealis, dealing with arctic explorers and observing stations;since 1GY in Antarctic, together with aurora height, brightness, forms and structures, color and spectroscopy. The second part enumerates six modem problems of aurora australis to be undertaken for Chinese scientific workers during forthcoming years; these are aurora conjugacy, aurora ovals, aurora substorms, methods of treating large amount of data, shock-aurora and comparative planetology.</t>
  </si>
  <si>
    <t>Chinese Acad Sci, Inst Geol &amp; Geophys, Beijing 100101, Peoples R China</t>
  </si>
  <si>
    <t>Chinese Academy of Sciences; Institute of Geology &amp; Geophysics, CAS</t>
  </si>
  <si>
    <t>Tschu, KK (corresponding author), Chinese Acad Sci, Inst Geol &amp; Geophys, Beijing 100101, Peoples R China.</t>
  </si>
  <si>
    <t>Liu, Liu/JXM-8208-2024</t>
  </si>
  <si>
    <t>SCIENCE PRESS</t>
  </si>
  <si>
    <t>BEIJING</t>
  </si>
  <si>
    <t>16 DONGHUANGCHENGGEN NORTH ST, BEIJING 100717, PEOPLES R CHINA</t>
  </si>
  <si>
    <t>0001-5733</t>
  </si>
  <si>
    <t>CHINESE J GEOPHYS-CH</t>
  </si>
  <si>
    <t>Chinese J. Geophys.-Chinese Ed.</t>
  </si>
  <si>
    <t>268JY</t>
  </si>
  <si>
    <t>WOS:000084411600017</t>
  </si>
  <si>
    <t>Yang, YH; Tang, KY; Yuan, YP; Hu, HQ; Liu, RY</t>
  </si>
  <si>
    <t>The feature of aurora in Antarctic Zhongshan Station</t>
  </si>
  <si>
    <t>Antarctic Zhongshan Station; aurora; geomagnetic field disturbance</t>
  </si>
  <si>
    <t>During the over-winter research in 1997, the authers had finished the observation on aurora at night and colleced photos of all-sky aurora in the Antarctic Zhongshan Station, Then they found when and where most aurora appeared near by the Zhongshan Station and their shapes. The authers also discovered that aurora would appeared with the geomagnetic field disturbance, showing important information for the study on ionosphere, magnetosphere coupling and aurora-dynamics.</t>
  </si>
  <si>
    <t>Chinese Acad Sci, Inst Geol &amp; Geophys, Beijing 100101, Peoples R China; Eleotron Ind Minist, Inst 22, Xinxiang 453000, Peoples R China; Wuhan Univ, Dept Informat, Wuhan 430072, Peoples R China; Polar Res Inst China, Shanghai 200129, Peoples R China</t>
  </si>
  <si>
    <t>Chinese Academy of Sciences; Institute of Geology &amp; Geophysics, CAS; Wuhan University; Polar Research Institute of China</t>
  </si>
  <si>
    <t>Yang, YH (corresponding author), Chinese Acad Sci, Inst Geol &amp; Geophys, Beijing 100101, Peoples R China.</t>
  </si>
  <si>
    <t>Yuan, Yu/HTM-9814-2023; yuan, yu/HZI-6841-2023; Yuan, Yuan/GVS-5120-2022; yuan, Yuan/ISA-0923-2023</t>
  </si>
  <si>
    <t>WOS:000084411600018</t>
  </si>
  <si>
    <t>Phleger, CF; Nelson, MM; Mooney, B; Nichols, PD</t>
  </si>
  <si>
    <t>Lipids of abducted Antarctic pteropods, Spongiobranchaea australis, and their hyperiid amphipod host</t>
  </si>
  <si>
    <t>COMPARATIVE BIOCHEMISTRY AND PHYSIOLOGY B-BIOCHEMISTRY &amp; MOLECULAR BIOLOGY</t>
  </si>
  <si>
    <t>lipids; fatty acids; sterols; antarctic; pteropods; Spongiobranchea; Hyperiella; amphipods</t>
  </si>
  <si>
    <t>FATTY-ACID COMPOSITION; GELATINOUS-ZOOPLANKTON; ASSOCIATIONS; GASTROPODA</t>
  </si>
  <si>
    <t>The abducted juvenile pteropod Spongiobranchaea australis had less triacylglycerol (10.9% of total lipid) than free-living S. australis (34.7%), and they lack glyceryl ethers. Ratios of eicosapentaenoic acid [20:5(n-3)] to docosahexaenoic acid [22:6(n-3)] were also less (0.5) for abducted than free-living S. australis (1.4). The polyunsaturated fatty acid 14:3 was detected for the first time in both abducted and free S, australis. A number of odd chain fatty acids were also detected: particularly 17:1 (up to 3.6% of total fatty acids) and also 15:0, 17:0, i17:0, and i19:0. The major sterols in the amphipod host, Hyperiella dilatata, included cholesterol (52-55% of total sterols) and trans-dehydrocholesterol (33-38%), whereas in S. australis (both free and abducted) the major sterols included trans-dehydrocholesterol (23-37%), brassicasterol (14-27%), and cholesterol (13-19%). The sterol profile of H. dilalatata is consistent with a carnivorous diet, whereas that of S. australis is more representative of an herbivorous diet. This finding is consistent with the major prey of S. australis being the herbivore Clio pyramidata. (C) 1999 Elsevier Science Inc. All rights reserved.</t>
  </si>
  <si>
    <t>San Diego State Univ, Dept Biol, San Diego, CA 92182 USA; CSIRO, Hobart, Tas 7001, Australia; Antarct CRC, Hobart, Tas 7001, Australia</t>
  </si>
  <si>
    <t>California State University System; San Diego State University; Commonwealth Scientific &amp; Industrial Research Organisation (CSIRO)</t>
  </si>
  <si>
    <t>Phleger, CF (corresponding author), San Diego State Univ, Dept Biol, San Diego, CA 92182 USA.</t>
  </si>
  <si>
    <t>Nichols, Peter D/C-5128-2011; Nelson, Matthew M/A-6811-2016</t>
  </si>
  <si>
    <t>Nelson, Matthew/0000-0003-4889-3752</t>
  </si>
  <si>
    <t>0305-0491</t>
  </si>
  <si>
    <t>COMP BIOCHEM PHYS B</t>
  </si>
  <si>
    <t>Comp. Biochem. Physiol. B-Biochem. Mol. Biol.</t>
  </si>
  <si>
    <t>10.1016/S0305-0491(99)00120-0</t>
  </si>
  <si>
    <t>Biochemistry &amp; Molecular Biology; Zoology</t>
  </si>
  <si>
    <t>254RA</t>
  </si>
  <si>
    <t>WOS:000083624900009</t>
  </si>
  <si>
    <t>Wanwimolruk, S; Zhang, H; Coville, PF; Saville, DJ; Davis, LS</t>
  </si>
  <si>
    <t>In vitro hepatic metabolism of a CYP3A-mediated drug, quinine, in Adelie penguins</t>
  </si>
  <si>
    <t>COMPARATIVE BIOCHEMISTRY AND PHYSIOLOGY C-PHARMACOLOGY TOXICOLOGY &amp; ENDOCRINOLOGY</t>
  </si>
  <si>
    <t>Antarctica; CYP3A; cytochrome P450; drug metabolism; environment; monooxygenase; penguin; quinine</t>
  </si>
  <si>
    <t>CHLORINATED HYDROCARBONS; CATHARACTA-MACCORMICKI; PYGOSCELIS-ADELIAE; CYTOCHROMES P450; LIVER-MICROSOMES; POLAR BEAR; SUPERFAMILY; INDUCTION; CHEMICALS; BIRDS</t>
  </si>
  <si>
    <t>Very little is known about Antarctic animals' ability to metabolise or detoxify xenobiotics. The activity of cytochromes P450 subfamily 3A (CYP3A) in Adelie penguin liver was studied by incubating penguin liver microsomes with a human CYP3A substrate, quinine, and results were compared with those from human liver microsomes. The mean maximum rate of metabolism (Vmax) for quinine in penguin livers was approximately five times less (160 +/- 72 versus 574 +/- 416 pmol/mg/min; P &lt; 0.01), and the mean Km (substrate affinity) for the formation of quinine's major metabolite (3-hydroxyquinine) was significantly greater than that observed in human livers (160 +/- 73 Versus 83 +/- 19 mu M; P &lt; 0.01). The mean intrinsic clearance (Vmax/Km) was 1.1 +/- 0.4 mu l/min (penguin), i.e. sevenfold less than in human livers (7.4 +/- 5.9 mu l/min, P &lt; 0.005), suggesting that penguins have much less ability than humans to eliminate xenobiotics having a similar metabolic nature to quinine (i.e. CYP3A substrates). 3-Hydroxyquinine formation in penguin liver was inhibited by specific CYP3A inhibitors, midazolam and troleandomycin, but not by other CYP inhibitors, indicating that quinine metabolism to 3-hydroxyquinine in Adelie penguin liver is likely to be catalysed by a CYP isoform resembling human CYP3A. Adelie penguin liver CYP isoforms could serve as biomarkers for the impact of environmental pollution. (C) 1999 Elsevier Science Inc. All rights reserved.</t>
  </si>
  <si>
    <t>Univ Otago, Sch Pharm, Dunedin, New Zealand; Univ Otago, Dept Zool, Dunedin, New Zealand</t>
  </si>
  <si>
    <t>University of Otago; University of Otago</t>
  </si>
  <si>
    <t>Wanwimolruk, S (corresponding author), Univ Otago, Sch Pharm, POB 913, Dunedin, New Zealand.</t>
  </si>
  <si>
    <t>0742-8413</t>
  </si>
  <si>
    <t>COMP BIOCHEM PHYS C</t>
  </si>
  <si>
    <t>Comp. Biochem. Physiol. C-Pharmacol. Toxicol. Endocrinol.</t>
  </si>
  <si>
    <t>10.1016/S0742-8413(99)00079-1</t>
  </si>
  <si>
    <t>Biochemistry &amp; Molecular Biology; Endocrinology &amp; Metabolism; Toxicology; Zoology</t>
  </si>
  <si>
    <t>263JZ</t>
  </si>
  <si>
    <t>WOS:000084122700011</t>
  </si>
  <si>
    <t>Pondaven, P; Ruiz-Pino, D; Druon, JN; Fravalo, C; Tréguer, P</t>
  </si>
  <si>
    <t>Factors controlling silicon and nitrogen biogeochemical cycles in high nutrient, low chlorophyll systems (the Southern Ocean and the North Pacific):: Comparison with a mesotrophic system (the North Atlantic)</t>
  </si>
  <si>
    <t>DEEP-SEA RESEARCH PART I-OCEANOGRAPHIC RESEARCH PAPERS</t>
  </si>
  <si>
    <t>SUB-ARCTIC PACIFIC; ANTARCTIC PHYTOPLANKTON; EQUATORIAL PACIFIC; MARINE ECOSYSTEMS; SUBARCTIC PACIFIC; SURFACE WATERS; WORLD OCEAN; MODEL; GROWTH; IRON</t>
  </si>
  <si>
    <t>A 1-D coupled physical-biogeochemical model is used to study the seasonal cycles of silicon and nitrogen in two High Nutrient Low Chlorophyll(HNLC) systems, the Antarctic Circumpolar Current (ACC) and the North Pacific Ocean, and a mesotrophic system, the North Atlantic Ocean. The biological model consists of nine compartments (diatoms, nano-flagellates, microzooplankton, mesozooplankton, two types of detritus, nitrate, ammonium and silicic acid) forced by irradiance, temperature, mixing and deep nitrate and silicic acid concentrations. At all sites, nanophytoplankton standing crop variations are low, in spite of variations in primary production, because of a top-down control by microzooplankton. Although nanophytoplankton sustain more than 60% of the annual primary production in these areas, their contribution to the export production does not exceed 1% of the total. The differences in the seasonal plankton cycle among these regions come mainly from differences in the dynamics of large phytoplankton (here diatoms). In the ACC, the chlorophyll maximum remains &lt;1.5 mg m(-3) as an unfavourable light/mixing regime and a likely trace-metal limitation keep diatoms from blooming. In the northeast Pacific, trace-metal limitation seems to keep diatoms from blooming throughout the year. In both these systems, light or iron limitations induce high Si/N uptake ratios. Incidentally these high Si/N uptake ratios lead to a net excess of silicic acid utilization over nitrate, and to a subsequent silicic acid limitation during the summertime. Ln the North Atlantic, under favourable light/mixing regime and nutrient-replete conditions at the onset of the growing period, diatoms outburst and sustain a bloom &gt;3.5 mg Chll-a m(-3). Thereafter, mesozooplankton grazing pressure and silicic acid limitation induce the collapse of the chlorophyll maximum and the persistence of lower chlorophyll concentrations in summer. Although the ACC and the North Pacific show HNLC features, they support a high biogenic silica production (1.9 and 1.07 mol Si m(-2) yr(-1)) and export flux (0.79 and 0.61 mol Si m(-2) yr(-1)), compared to the North Atlantic (production: 0.23 mol Si m(-2) yr(-1), export: 0.12 mol Si m(-2) yr(-1)). The differences in Si production and export between the HNLC systems and the mesotrophic North Atlantic come from both higher Si concentrations and Si/N uptake ratios in the HNLC areas compared to the North Atlantic. Also, the low dissolution rate of biogenic silica compared to nitrogen degradation rate, and the inhibition of nitrate uptake by ammonium, reinforce the net excess of silicic acid utilization over nitrate. As a result, the model also illustrates the efficiency of the silica pump for the three sites: about 50% of the biogenic silica synthesized in the euphotic layer is exported out of the first 100 m, while only 4-11% of the particulate organic nitrogen escapes recycling in the surface layer. (C) 1999 Elsevier Science Ltd. All rights reserved.</t>
  </si>
  <si>
    <t>Technopole Brest Iroise, Inst Univ Europeen Mer, UMR 6539, F-29280 Plouzane, France; LPCM, F-75005 Paris, France; Univ Paris 06, F-75005 Paris, France</t>
  </si>
  <si>
    <t>Centre National de la Recherche Scientifique (CNRS); Ifremer; Institut de Recherche pour le Developpement (IRD); CNRS - Institute of Ecology &amp; Environment (INEE); Universite de Bretagne Occidentale; Institut Universitaire Europeen de la Mer (IUEM); Sorbonne Universite</t>
  </si>
  <si>
    <t>Pondaven, P (corresponding author), Technopole Brest Iroise, Inst Univ Europeen Mer, UMR 6539, Pl Nicolas Copernic, F-29280 Plouzane, France.</t>
  </si>
  <si>
    <t>pondaven@univ-brest.fr</t>
  </si>
  <si>
    <t>Treguer, Paul/H-6064-2012</t>
  </si>
  <si>
    <t>Pondaven, Philippe/0000-0002-3427-7767</t>
  </si>
  <si>
    <t>0967-0637</t>
  </si>
  <si>
    <t>DEEP-SEA RES PT I</t>
  </si>
  <si>
    <t>Deep-Sea Res. Part I-Oceanogr. Res. Pap.</t>
  </si>
  <si>
    <t>10.1016/S0967-0637(99)00033-3</t>
  </si>
  <si>
    <t>237WK</t>
  </si>
  <si>
    <t>WOS:000082679400004</t>
  </si>
  <si>
    <t>Chepurina, MA; Bessonov, VI</t>
  </si>
  <si>
    <t>On seasonal variations of ice edge position, air temperature and atmospheric pressure in the Southern ocean</t>
  </si>
  <si>
    <t>DOKLADY AKADEMII NAUK</t>
  </si>
  <si>
    <t>Russian</t>
  </si>
  <si>
    <t>Arctic &amp; Antarctic Res Inst, St Petersburg 199226, Russia</t>
  </si>
  <si>
    <t>Arctic &amp; Antarctic Research Institute</t>
  </si>
  <si>
    <t>Chepurina, MA (corresponding author), Arctic &amp; Antarctic Res Inst, St Petersburg 199226, Russia.</t>
  </si>
  <si>
    <t>MEZHDUNARODNAYA KNIGA</t>
  </si>
  <si>
    <t>MOSCOW</t>
  </si>
  <si>
    <t>39 DIMITROVA UL., 113095 MOSCOW, RUSSIA</t>
  </si>
  <si>
    <t>0869-5652</t>
  </si>
  <si>
    <t>DOKL AKAD NAUK+</t>
  </si>
  <si>
    <t>Dokl. Akad. Nauk</t>
  </si>
  <si>
    <t>301TQ</t>
  </si>
  <si>
    <t>WOS:000086326700031</t>
  </si>
  <si>
    <t>Peck, L; Chapelle, G</t>
  </si>
  <si>
    <t>Amphipod gigantism dictated by oxygen availability? Reply</t>
  </si>
  <si>
    <t>ECOLOGY LETTERS</t>
  </si>
  <si>
    <t>CRUSTACEA</t>
  </si>
  <si>
    <t>British Antarctic Survey, PI LATEST Programme, Cambridge CB3 0ET, England; Inst Royal Sci Nat Bruxelles, B-1000 Brussels, Belgium</t>
  </si>
  <si>
    <t>Peck, L (corresponding author), British Antarctic Survey, PI LATEST Programme, High Cross,Madingley Rd, Cambridge CB3 0ET, England.</t>
  </si>
  <si>
    <t>BLACKWELL SCIENCE LTD</t>
  </si>
  <si>
    <t>P O BOX 88, OSNEY MEAD, OXFORD OX2 0NE, OXON, ENGLAND</t>
  </si>
  <si>
    <t>1461-023X</t>
  </si>
  <si>
    <t>ECOL LETT</t>
  </si>
  <si>
    <t>Ecol. Lett.</t>
  </si>
  <si>
    <t>Ecology</t>
  </si>
  <si>
    <t>258DE</t>
  </si>
  <si>
    <t>WOS:000083822200010</t>
  </si>
  <si>
    <t>Treonis, AM; Wall, DH; Virginia, RA</t>
  </si>
  <si>
    <t>Invertebrate biodiversity in Antarctic dry valley soils and sediments</t>
  </si>
  <si>
    <t>ECOSYSTEMS</t>
  </si>
  <si>
    <t>McMurdo Dry Valleys; Antarctica; soils; streams; hyporheic zone; invertebrates; nematodes; rotifers; tardigrades; anhydrobiosis</t>
  </si>
  <si>
    <t>DESERT SOILS; WATER-LOSS; NEMATODES; DIVERSITY; STREAM; ANHYDROBIOSIS; COMMUNITIES; EXTRACTION; SURVIVAL; FOREST</t>
  </si>
  <si>
    <t>We studied invertebrate communities across a transition zone between soils and stream sediments in the cold desert landscape: of Taylor Valley, Antarctica. We hypothesized that hydrological and biogeochemical linkages in the functionally important transition zone between streams and surrounding soils should be important in structuring invertebrate communities. We compared invertebrate communities along transects beginning in the saturated sediments under flowing stream water and extending laterally through the hyporheic zone to the dry soils that characterize most of the dry valley landscape. Nematodes, rotifers, and tardigrades assembled into different communities in soils and sediments, but there was no relationship between the total abundance of invertebrates and moisture. Community diversity was, however, influenced by the moisture and salinity gradients created with distance from flowing waters. The wet, low-salinity sediments in the center of the stream contained the most invertebrates and had the highest taxonomic diversity. Adjacent to the stream, communities in the hyporheic zone were influenced strongly by salt deposition. Abundance of invertebrates was low in the hyporheic zone, but this area, contained the most co-occurring nematode species (three species). In dry seas, communities were composed almost entirely of a single species of nematode, Scottnema lindsayae, an organism not found in the stream center. These results suggest spatially-partitioned niches for invertebrates in soils and sediments in the dry valley landscape based on proximity to sources of moisture and the interactive effects of salinity.</t>
  </si>
  <si>
    <t>Colorado State Univ, Nat Resource Ecol Lab, Ft Collins, CO 80523 USA; Dartmouth Coll, Environm Studies Program, Hanover, NH 03755 USA</t>
  </si>
  <si>
    <t>Colorado State University; Dartmouth College</t>
  </si>
  <si>
    <t>Treonis, AM (corresponding author), Macaulay Land Use Res Inst, Aberdeen AB15 8ZH, Scotland.</t>
  </si>
  <si>
    <t>Wall, Diana H/F-5491-2011</t>
  </si>
  <si>
    <t>1432-9840</t>
  </si>
  <si>
    <t>Ecosystems</t>
  </si>
  <si>
    <t>NOV-DEC</t>
  </si>
  <si>
    <t>10.1007/s100219900096</t>
  </si>
  <si>
    <t>270KG</t>
  </si>
  <si>
    <t>WOS:000084534100002</t>
  </si>
  <si>
    <t>Rosqvist, GC; Rietti-Shati, M; Shemesh, A</t>
  </si>
  <si>
    <t>Late glacial to middle Holocene climatic record of lacustrine biogenic silica oxygen isotopes from a Southern Ocean island</t>
  </si>
  <si>
    <t>GEOLOGY</t>
  </si>
  <si>
    <t>YOUNGER DRYAS; NEW-ZEALAND; INSTABILITY; TEMPERATURE; ANTARCTICA; ATLANTIC; GEORGIA; HISTORY; AMERICA; EVENT</t>
  </si>
  <si>
    <t>Analyses of oxygen isotopes in biogenic silica, carbon isotopes of organic matter, organic carbon content, and gray-scale density from radiocarbon-dated sediment cores retrieved from a lake located on the island of South Georgia (54 degrees S, 36 degrees W) provide the first late glacial to middle Holocene paleoclimatic record from this area of the Southern Ocean. The deglaciation on South Georgia, today 350 km south of the Antarctic convergence, commenced prior to 18.6 ka, Colder conditions were reinstated shortly after 14 ha and lasted across the Younger Dryas chronozone (12.7-11.5 ka) without significant change. The recorded transition to postglacial conditions between 8.4 and 6.5 ha,vas interrupted by a 400 yr cold event that began ca, 7.8 ka, Our results provide evidence of climate change from sub-Antarctic latitudes that helps determine the existence and timing of late Pleistocene and Holocene millennial-scale climatic events in the Southern Hemisphere.</t>
  </si>
  <si>
    <t>Univ Stockholm, Dept Phys Geog, S-10691 Stockholm, Sweden; Weizmann Inst Sci, Dept Environm Sci &amp; Energy Res, IL-76100 Rehovot, Israel</t>
  </si>
  <si>
    <t>Stockholm University; Weizmann Institute of Science</t>
  </si>
  <si>
    <t>Rosqvist, GC (corresponding author), Univ Stockholm, Dept Phys Geog, S-10691 Stockholm, Sweden.</t>
  </si>
  <si>
    <t>Rosqvist, Gunhild/0000-0002-9195-607X</t>
  </si>
  <si>
    <t>GEOLOGICAL SOC AMERICA, INC</t>
  </si>
  <si>
    <t>PO BOX 9140, BOULDER, CO 80301-9140 USA</t>
  </si>
  <si>
    <t>0091-7613</t>
  </si>
  <si>
    <t>10.1130/0091-7613(1999)027&lt;0967:LGTMHC&gt;2.3.CO;2</t>
  </si>
  <si>
    <t>252DH</t>
  </si>
  <si>
    <t>WOS:000083485100002</t>
  </si>
  <si>
    <t>Sonder, LJ; Pockalny, RA</t>
  </si>
  <si>
    <t>Anomalously rotated abyssal hills along active transforms: Distributed deformation of oceanic lithosphere</t>
  </si>
  <si>
    <t>EAST PACIFIC RISE; VISCOUS SHEET MODEL; CONTINENTAL DEFORMATION; CLIPPERTON TRANSFORM; SPREADING CENTERS; ANTARCTIC PLATE; FRACTURE-ZONE; SEAMARC-II; SEA BEAM; RIDGE</t>
  </si>
  <si>
    <t>Abyssal hills within 20 km of the Clipperton and Pitman transforms deviate from regional trends by as much as 15 degrees-20 degrees. We use a thin viscous sheet model with power-law rheology to test the hypothesis that these anomalous trends result from distributed deformation of oceanic lithosphere, probably associated with periods of transpression, The variation of abyssal-hill trends with distance from the transform matches model predictions, with power-law exponents consistent with lithospheric rheology controlled by a combination of slip on faults at shallow depths and ductile creep in deeper parts. Predicted displacements are less than actual slip along the transforms, suggesting that only part of relative plate motion is taken up by distributed deformation. These results suggest that abyssal-hill rotation is sporadic, occurring perhaps when physical conditions (e.g., pore-fluid pressure, hydrothermal alteration, or transpression) are particularly favorable.</t>
  </si>
  <si>
    <t>Dartmouth Coll, Dept Earth Sci, Hanover, NH 03755 USA; Univ Rhode Isl, Grad Sch Oceanog, Narragansett, RI 02882 USA</t>
  </si>
  <si>
    <t>Dartmouth College; University of Rhode Island</t>
  </si>
  <si>
    <t>Sonder, LJ (corresponding author), Dartmouth Coll, Dept Earth Sci, 6015 Fairchild Hall, Hanover, NH 03755 USA.</t>
  </si>
  <si>
    <t>Pockalny, Rob/HHZ-6845-2022</t>
  </si>
  <si>
    <t>10.1130/0091-7613(1999)027&lt;1003:ARAHAA&gt;2.3.CO;2</t>
  </si>
  <si>
    <t>WOS:000083485100011</t>
  </si>
  <si>
    <t>Goodge, JW; Fanning, CM</t>
  </si>
  <si>
    <t>2.5 b.y. of punctuated Earth history as recorded in a single rock</t>
  </si>
  <si>
    <t>CENTRAL TRANSANTARCTIC MOUNTAINS; ANTARCTIC MARGIN; ZIRCON GROWTH; ROSS OROGEN; SHEAR ZONE; AGES; EVOLUTION; GONDWANA; METAMORPHISM; CONSTRAINTS</t>
  </si>
  <si>
    <t>Deciphering the absolute chronology of ancient crustal rocks is often problematical because of isotopic reequilibration and/or mixing during multiple geologic events. Ion probe U-Pb age data from texturally distinct zircon crystal domains in a single sample of high-grade gneiss from the Nimrod Group in Antarctica reflect successive resorption and crystallization under disequilibrium conditions. Our data indicate that Archean crust of the East Antarctic shield, initially formed from juvenile magmas ca. 3000 Ma, extends to the central Transantarctic Mountains. Successive zircon growth ca. 2955, 1720, and 530 Ma records a sequence of distinct, widely spaced high-temperature metamorphic and/or anatectic events related to Archean, Paleoproterozoic, and Eocambrian orogenesis.</t>
  </si>
  <si>
    <t>So Methodist Univ, Dept Geol Sci, Dallas, TX 75275 USA; Australian Natl Univ, Res Sch Earth Sci, Canberra, ACT 0200, Australia</t>
  </si>
  <si>
    <t>Southern Methodist University; Australian National University</t>
  </si>
  <si>
    <t>So Methodist Univ, Dept Geol Sci, Dallas, TX 75275 USA.</t>
  </si>
  <si>
    <t>jgoodge@mail.smu.edu</t>
  </si>
  <si>
    <t>Goodge, John/GQI-3878-2022; Fanning, Christopher Mark/I-6449-2016</t>
  </si>
  <si>
    <t>Goodge, John/0000-0003-2578-3147; Fanning, Christopher Mark/0000-0003-3331-3145</t>
  </si>
  <si>
    <t>GEOLOGICAL SOC AMER, INC</t>
  </si>
  <si>
    <t>1943-2682</t>
  </si>
  <si>
    <t>10.1130/0091-7613(1999)027&lt;1007:BYOPEH&gt;2.3.CO;2</t>
  </si>
  <si>
    <t>WOS:000083485100012</t>
  </si>
  <si>
    <t>Burns, SJ; Maslin, MA</t>
  </si>
  <si>
    <t>Composition and circulation of bottom water in the western Atlantic Ocean during the last glacial, based on pore-water analyses from the Amazon Fan</t>
  </si>
  <si>
    <t>NORTH-ATLANTIC; DEEP-OCEAN; TEMPERATURE; SEDIMENTATION; CYCLES; RATES</t>
  </si>
  <si>
    <t>Pore waters from very rapidly deposited continental margin sediments may provide a record of changes in the isotopic and chemical composition of seawater over time. Measurements made on pore waters extracted from sediments drilled at five sites during Ocean Drilling Program Leg 155 on the Amazon Fan show systematic increases in delta(18)O with depth from similar to 0.1 parts per thousand in surface sediments to similar to 0.4 parts per thousand in glacial-age sediments from below about 40 m below sea floor. This relatively small glacial-interglacial difference reflects both the overall increase in delta(18)O of seawater during the last glacial and a change in bottom-water source to the area from North Atlantic Deep Water at present to relatively (18)O depleted Antarctic Bottom Water during the last glacial. When combined with delta(18)O analyses of benthic foraminifers, the pore-water data indicate a glacial-interglatial temperature change of about 4 degrees C.</t>
  </si>
  <si>
    <t>Univ Bern, Inst Geol, CH-3012 Bern, Switzerland; UCL, Environm Change Res Ctr, London WC1H 0AP, England</t>
  </si>
  <si>
    <t>University of Bern; University of London; University College London</t>
  </si>
  <si>
    <t>Burns, SJ (corresponding author), Univ Bern, Inst Geol, Baltzerstr 1, CH-3012 Bern, Switzerland.</t>
  </si>
  <si>
    <t>Burns, Stephen J/H-9419-2013</t>
  </si>
  <si>
    <t>Maslin, Mark/0000-0001-9957-3463</t>
  </si>
  <si>
    <t>0016-8505</t>
  </si>
  <si>
    <t>10.1130/0091-7613(1999)027&lt;1011:CACOBW&gt;2.3.CO;2</t>
  </si>
  <si>
    <t>WOS:000083485100013</t>
  </si>
  <si>
    <t>Nunn, D; Rodger, CJ</t>
  </si>
  <si>
    <t>Modeling the relaxation of red sprite plasma</t>
  </si>
  <si>
    <t>VLF SCATTERING; IONIZATION</t>
  </si>
  <si>
    <t>Red sprites consist of multiple ionised columns extending above a thunderstorm from similar to 30 km to similar to 90 km. Electron densities in these columns are very much larger than the ambient background, perhaps fives orders of magnitude at 70 km. These highly ionized structures cause observable perturbations in subionospheric VLF transmissions known as VLF Sprites. Three models of initial sprite electron density are considered, and using a realistic ionization relaxation model the time dependence of electron density is derived. A 3-D Born propagation code of is used to compute the time profile of a VLF sprite. Two profiles show good agreement with the time signature experimentally observed, in that scattered amplitude and phase decrease logarithmically with time. These simulations provide insight into the nature and structure of sprite columns, and indicate an additional constraint which should be applied to red sprite creation models.</t>
  </si>
  <si>
    <t>Univ Southampton, Dept Elect &amp; Comp Engn, Southampton SO17 1BJ, Hants, England; British Antarctic Survey, Div Phys Sci, Cambridge CB3 0ET, England</t>
  </si>
  <si>
    <t>University of Southampton; UK Research &amp; Innovation (UKRI); Natural Environment Research Council (NERC); NERC British Antarctic Survey</t>
  </si>
  <si>
    <t>Nunn, D (corresponding author), Univ Southampton, Dept Elect &amp; Comp Engn, Southampton SO17 1BJ, Hants, England.</t>
  </si>
  <si>
    <t>Rodger, Craig/A-1501-2011</t>
  </si>
  <si>
    <t>Rodger, Craig J./0000-0002-6770-2707</t>
  </si>
  <si>
    <t>NOV 1</t>
  </si>
  <si>
    <t>10.1029/1999GL003578</t>
  </si>
  <si>
    <t>252DM</t>
  </si>
  <si>
    <t>WOS:000083485500022</t>
  </si>
  <si>
    <t>Anandakrishnan, S</t>
  </si>
  <si>
    <t>Penguins everywhere: GNU/Linux in Antarctica</t>
  </si>
  <si>
    <t>IEEE SOFTWARE</t>
  </si>
  <si>
    <t>The harsh, remote conditions of the Antarctic ice cap pose formidable challenges to continuous, year-round geophysical data acquisition. The author designed and built a serial data-acquisition engine using the GNU/Linux operating system on a small single-board computer to remotely record earthquake.</t>
  </si>
  <si>
    <t>Univ Alabama, Dept Geol Sci, Tuscaloosa, AL 35487 USA</t>
  </si>
  <si>
    <t>University of Alabama System; University of Alabama Tuscaloosa</t>
  </si>
  <si>
    <t>Anandakrishnan, S (corresponding author), Univ Alabama, Dept Geol Sci, Box 870338, Tuscaloosa, AL 35487 USA.</t>
  </si>
  <si>
    <t>IEEE COMPUTER SOC</t>
  </si>
  <si>
    <t>LOS ALAMITOS</t>
  </si>
  <si>
    <t>10662 LOS VAQUEROS CIRCLE, PO BOX 3014, LOS ALAMITOS, CA 90720-1314 USA</t>
  </si>
  <si>
    <t>0740-7459</t>
  </si>
  <si>
    <t>IEEE Softw.</t>
  </si>
  <si>
    <t>10.1109/52.805480</t>
  </si>
  <si>
    <t>Computer Science, Software Engineering</t>
  </si>
  <si>
    <t>Computer Science</t>
  </si>
  <si>
    <t>255LM</t>
  </si>
  <si>
    <t>WOS:000083670300026</t>
  </si>
  <si>
    <t>Catchpole, A; Auliciems, A</t>
  </si>
  <si>
    <t>Southern oscillation and the northern australian prawn catch</t>
  </si>
  <si>
    <t>INTERNATIONAL JOURNAL OF BIOMETEOROLOGY</t>
  </si>
  <si>
    <t>Panaeus prawns; SOI</t>
  </si>
  <si>
    <t>PENAEUS-SEMISULCATUS; LARVAL ECOLOGY; CARPENTARIA; GULF; MERGUIENSIS; ESCULENTUS</t>
  </si>
  <si>
    <t>Associations are established between the southern oscillation index (SOI) and penaeid prawn catches within the northern Australian prawn fishery. Analysis involved calculation of correlations between Gulf of Carpentaria banana prawn and tiger prawn catches and Troup's SOI. Significant positive correlations are observed between catch size and SOI for specific months from pre-wet to post-wet seasons. For banana prawns, the results indirectly confirm some earlier observations of increased catches in conjunction with high rainfall during the onset of monsoon periods, but also indicate an association with late rains. However, the relationship with tiger prawns appears to be in the opposite direction, showing negative correlations with SOI for particular months. Some hypotheses are suggested to explain these results in terms of environmental effects on spawning populations, and comment is made on the potential for forecasting catch sizes.</t>
  </si>
  <si>
    <t>Univ Tasmania, Inst Antarctic &amp; So Ocean Studies, Sandy Bay 7005, Australia; Univ Queensland, Dept Geog Sci &amp; Planning, Brisbane, Qld 4072, Australia</t>
  </si>
  <si>
    <t>University of Tasmania; University of Queensland</t>
  </si>
  <si>
    <t>Catchpole, A (corresponding author), Univ Tasmania, Inst Antarctic &amp; So Ocean Studies, Sandy Bay 7005, Australia.</t>
  </si>
  <si>
    <t>0020-7128</t>
  </si>
  <si>
    <t>INT J BIOMETEOROL</t>
  </si>
  <si>
    <t>Int. J. Biometeorol.</t>
  </si>
  <si>
    <t>10.1007/s004840050124</t>
  </si>
  <si>
    <t>Biophysics; Environmental Sciences; Meteorology &amp; Atmospheric Sciences; Physiology</t>
  </si>
  <si>
    <t>Biophysics; Environmental Sciences &amp; Ecology; Meteorology &amp; Atmospheric Sciences; Physiology</t>
  </si>
  <si>
    <t>262RW</t>
  </si>
  <si>
    <t>WOS:000084081100002</t>
  </si>
  <si>
    <t>Bianco, R; Hynes, JT</t>
  </si>
  <si>
    <t>Theoretical studies of heterogeneous reaction mechanisms relevant for stratospheric ozone depletion</t>
  </si>
  <si>
    <t>INTERNATIONAL JOURNAL OF QUANTUM CHEMISTRY</t>
  </si>
  <si>
    <t>International Symposium on Atomic Molecular and Condensed Matter Theory</t>
  </si>
  <si>
    <t>FEB 27-MAR 05, 1999</t>
  </si>
  <si>
    <t>ST AUGUSTINE, FL</t>
  </si>
  <si>
    <t>MOLECULAR-ORBITAL METHODS; GAUSSIAN-TYPE BASIS; VALENCE BASIS-SETS; SULFURIC-ACID; ANTARCTIC OZONE; CHLORINE NITRATE; ORGANIC-MOLECULES; 2ND-ROW ELEMENTS; SULFATE AEROSOLS; WATER ICE</t>
  </si>
  <si>
    <t>Aspects of the heterogeneous reaction HCl + ClONO2 + Cl-2 + HNO3 on ice and N2O5 + H2O --&gt; 2 HNO3 on supercooled water are modeled via electronic-structure calculations involving reactant-water cluster systems. Reaction-path calculations for a HCl . ClONO2 (H2O)(9) system indicate a coupled proton-transfer (PT)/nucleophilic attack (S(N)2) process, in which the ice lattice is an active participant. Analysis of the N2O5.(H2O)(4) reaction system geometry and charge distribution suggests that a similar coupled PT/S(N)2 mechanism could occur in a larger system. (C) 1999 John Wiley &amp; Sons, Inc.</t>
  </si>
  <si>
    <t>Univ Colorado, Dept Chem &amp; Biochem, Boulder, CO 80309 USA</t>
  </si>
  <si>
    <t>University of Colorado System; University of Colorado Boulder</t>
  </si>
  <si>
    <t>Univ Colorado, Dept Chem &amp; Biochem, Campus Box 215, Boulder, CO 80309 USA.</t>
  </si>
  <si>
    <t>James.Hynes@Colorado.EDU</t>
  </si>
  <si>
    <t>WILEY</t>
  </si>
  <si>
    <t>HOBOKEN</t>
  </si>
  <si>
    <t>111 RIVER ST, HOBOKEN 07030-5774, NJ USA</t>
  </si>
  <si>
    <t>0020-7608</t>
  </si>
  <si>
    <t>1097-461X</t>
  </si>
  <si>
    <t>INT J QUANTUM CHEM</t>
  </si>
  <si>
    <t>Int. J. Quantum Chem.</t>
  </si>
  <si>
    <t>4-5</t>
  </si>
  <si>
    <t>10.1002/(SICI)1097-461X(1999)75:4/5&lt;683::AID-QUA35&gt;3.0.CO;2-F</t>
  </si>
  <si>
    <t>Chemistry, Physical; Mathematics, Interdisciplinary Applications; Quantum Science &amp; Technology; Physics, Atomic, Molecular &amp; Chemical</t>
  </si>
  <si>
    <t>Chemistry; Mathematics; Physics</t>
  </si>
  <si>
    <t>254ME</t>
  </si>
  <si>
    <t>WOS:000083615800034</t>
  </si>
  <si>
    <t>Merzlyakov, EG; Portnyagin, YI; Makarov, NA; Forbes, JM; Palo, S</t>
  </si>
  <si>
    <t>Intradiurnal wind variations in the lower thermosphere over the Antarctic from meteor radar measurements</t>
  </si>
  <si>
    <t>IZVESTIYA AKADEMII NAUK FIZIKA ATMOSFERY I OKEANA</t>
  </si>
  <si>
    <t>SOUTH-POLE; OSCILLATION</t>
  </si>
  <si>
    <t>Meteor radar data for wind obtained at the Amundsen-Scott station (South Pole) in 1995-1996 and the Molodezhnaya station (68 degrees S) in 1990-1991 are analyzed with the emphasis on intradiurnal variations common to both stations. The strong variability of the observed wave variations is taken into account by using the S-transform, and the times of initiation and lifetimes of these variations are estimated. It is shown that wind variations at the Molodezhnaya station include periods identical to those characteristic of the South Pole. The wave amplitudes at different latitudes are comparable in magnitude and exceed 15 m/s, the waves propagate to the west, and their periods are close to the theoretical periods of characteristic oscillations of the ideal atmosphere. This is evidence in favor of the suggestion that the waves observed are the atmospheric characteristic modes of the type of Lamb waves.</t>
  </si>
  <si>
    <t>Taifun Res &amp; Prod Assoc, Obninsk 249020, Kaluga Oblast, Russia; Univ Colorado, Boulder, CO 80309 USA</t>
  </si>
  <si>
    <t>Merzlyakov, EG (corresponding author), Taifun Res &amp; Prod Assoc, Pr Lenina 82, Obninsk 249020, Kaluga Oblast, Russia.</t>
  </si>
  <si>
    <t>Forbes, Jeffrey M/B-7234-2016; Merzlyakov, E G/U-5443-2017</t>
  </si>
  <si>
    <t>Forbes, Jeffrey M/0000-0001-6937-0796; Merzlyakov, E G/0000-0001-8344-5491; PALO, SCOTT/0000-0002-4729-4929</t>
  </si>
  <si>
    <t>0002-3515</t>
  </si>
  <si>
    <t>IZV AN FIZ ATMOS OK+</t>
  </si>
  <si>
    <t>Izv. Akad. Nauk. Fiz. Atmos. Okean. Biol.</t>
  </si>
  <si>
    <t>Meteorology &amp; Atmospheric Sciences; Oceanography</t>
  </si>
  <si>
    <t>277DY</t>
  </si>
  <si>
    <t>WOS:000084918500007</t>
  </si>
  <si>
    <t>Barbraud, C; Weimerskirch, H; Robertson, GG; Jouventin, P</t>
  </si>
  <si>
    <t>Size-related life history traits:: insights from a study of snow petrels (Pagodroma nivea)</t>
  </si>
  <si>
    <t>JOURNAL OF ANIMAL ECOLOGY</t>
  </si>
  <si>
    <t>Antarctica; body size; geographical variation; life history traits; phenotypic plasticity</t>
  </si>
  <si>
    <t>FEMALE WANDERING ALBATROSSES; BODY-SIZE; PHENOTYPIC PLASTICITY; SEXUAL SELECTION; BARNACLE GOOSE; EGG SIZE; NATURAL-SELECTION; BRANTA-LEUCOPSIS; DARWIN FINCHES; GROWTH</t>
  </si>
  <si>
    <t>1. Body size is commonly tied to major life history traits in many animals. The main problem with studies on this topic is that the range of body sizes within species is generally too small to produce enough variation in traits for quantitative analysis. The snow petrel shows considerable differences in body size with structural body size varying by approximate to 1.6-fold. This high variability in size provides a good opportunity for examining how life history traits are related to body size intraspecifically. 2. We studied the breeding phenology, foraging parameters and chick growth in relation to body size in two populations of snow petrel in Antarctica. We also investigated the relationship between body size and distance separating colony from the edge of the pack ice using morphometric data from 16 breeding stations. 3. The largest snow petrels laid eggs approximate to 2-fold larger and hatched hatchlings approximate to 1.9-fold heavier than smallest ones. During the chick rearing period the smallest adults made longer foraging trips (approximate to 70 h) and fed their chick less frequently than the largest ones (approximate to 40 h). Meal size was positively related to adult body size. 4. Chicks raised by large parents grew more rapidly, reached higher peak mass and asymptotic size than chicks raised by small parents. Chick body size at fledging was correlated to the size of their biological parents. A sample of 20 chicks from parents that differed in body size were swapped. Body size of swapped chicks at fledging was not correlated to their foster parent size. Swapped chicks tended to resemble their biological parents in size but no significant relationship was found. 5. These results provide evidence of intraspecific variability in several ecological variables and life history traits linked to body size. The difference in foraging trip duration between large and small birds was not only because of a lower flight speed or a higher metabolic rate per mass unit of smaller birds and suggests that small birds had lower feeding efficiency or fed on more distant areas. This was reinforced at the population level by a negative correlation obtained between body size and distance between colony and the edge of the pack ice for 16 breeding stations. 6. The results suggest that body size is probably in the main genetically determined but that there is a significant environmental component in fledgling body size.</t>
  </si>
  <si>
    <t>CNRS, CEBC, F-79360 Villiers En Bois, France; Australian Antarctic Div, Kingston, Tas 7050, Australia; CNRS, Ctr Ecol Fonct &amp; Evolut, F-34293 Montpellier, France</t>
  </si>
  <si>
    <t>Centre National de la Recherche Scientifique (CNRS); Australian Antarctic Division; Universite PSL; Ecole Pratique des Hautes Etudes (EPHE); Institut Agro; Montpellier SupAgro; CIRAD; Centre National de la Recherche Scientifique (CNRS); Institut de Recherche pour le Developpement (IRD); Universite Paul-Valery; Universite de Montpellier</t>
  </si>
  <si>
    <t>Barbraud, C (corresponding author), CNRS, CEBC, F-79360 Villiers En Bois, France.</t>
  </si>
  <si>
    <t>Weimerskirch, Henri/F-5562-2013; Weimerskirch, Henri/K-7306-2019; Barbraud, Christophe/A-5870-2012</t>
  </si>
  <si>
    <t>Weimerskirch, Henri/0000-0002-0457-586X; Barbraud, Christophe/0000-0003-0146-212X</t>
  </si>
  <si>
    <t>0021-8790</t>
  </si>
  <si>
    <t>1365-2656</t>
  </si>
  <si>
    <t>J ANIM ECOL</t>
  </si>
  <si>
    <t>J. Anim. Ecol.</t>
  </si>
  <si>
    <t>10.1046/j.1365-2656.1999.00361.x</t>
  </si>
  <si>
    <t>Ecology; Zoology</t>
  </si>
  <si>
    <t>Environmental Sciences &amp; Ecology; Zoology</t>
  </si>
  <si>
    <t>265BJ</t>
  </si>
  <si>
    <t>WOS:000084218700009</t>
  </si>
  <si>
    <t>Greenslade, P; Farrow, RA; Smith, JMB</t>
  </si>
  <si>
    <t>Long distance migration of insects to a subantarctic island</t>
  </si>
  <si>
    <t>JOURNAL OF BIOGEOGRAPHY</t>
  </si>
  <si>
    <t>migration; Lepidoptera; Macquarie Island; synoptic weather; climate warming</t>
  </si>
  <si>
    <t>RADAR; SEA</t>
  </si>
  <si>
    <t>Transoceanic migration of four species of macrolepidoptera to subantarctic Macquarie Island has been detected in 7 out of 33 years Juring the period 1962-96 and is restricted to spring and autumn. Analyses of synoptic charts during the migration period show that autumn immigrants originated from New Zealand and comprised a single species of noctuid moth,Agrotis ipsilon (Walker). Spring immigrants originated from Australia and comprised two noctuids, Dasypodia selenophora Guenee and Persectania ewingii Westwood and a butterfly, Vanessa kershawi (McCoy). Autumn migrations were associated with depressions in the southern Tasman Sea. Spring migrations were associated with the eastward passage of prefrontal airflows ahead of cold fronts which extended from southern Australia to the west of Macquarie Island. In an analysis of one of these events, winds exceeded 30 ms(-1) at 300 m altitude and could have transported migrants from Tasmania to Macquarie Island overnight in less than 10 h. Flight activity was assisted by the presence of a nocturnal temperature inversion that maintained upper air temperatures above 5 degrees C. The effect of potential global warming on the migration and colonization of Macquarie Island by insects is discussed.</t>
  </si>
  <si>
    <t>CSIRO Entomol, Canberra, ACT 2601, Australia; Australian Antarctic Div, Lexington, KY 40506 USA</t>
  </si>
  <si>
    <t>Commonwealth Scientific &amp; Industrial Research Organisation (CSIRO); Australian Antarctic Division</t>
  </si>
  <si>
    <t>Greenslade, P (corresponding author), CSIRO Entomol, GPO Box 1700, Canberra, ACT 2601, Australia.</t>
  </si>
  <si>
    <t>0305-0270</t>
  </si>
  <si>
    <t>J BIOGEOGR</t>
  </si>
  <si>
    <t>J. Biogeogr.</t>
  </si>
  <si>
    <t>10.1046/j.1365-2699.1999.00356.x</t>
  </si>
  <si>
    <t>Ecology; Geography, Physical</t>
  </si>
  <si>
    <t>285AT</t>
  </si>
  <si>
    <t>WOS:000085366500003</t>
  </si>
  <si>
    <t>Millward, GH; Moffett, RJ; Balmforth, HF; Rodger, AS</t>
  </si>
  <si>
    <t>Modeling the ionospheric effects of ion and electron precipitation in the cusp</t>
  </si>
  <si>
    <t>JOURNAL OF GEOPHYSICAL RESEARCH-SPACE PHYSICS</t>
  </si>
  <si>
    <t>PLASMA MANTLE; CONVECTION; MAGNETOSPHERE; SIGNATURES; IONIZATION; DYNAMICS; TROUGH</t>
  </si>
  <si>
    <t>The effect of increased ion production due to the precipitation of both ions and electrons in the cusp region has been studied using a computational model of the high-latitude ionosphere. The modeling assumes that the cusp region is subject to fluxes of precipitating electrons which have a Maxwellian energy distribution at a temperature of 50 eV. In addition to the electrons the modeled cusp ionosphere is also subjected to precipitating ions with a Maxwellian energy distribution, at a temperature of 500 eV and a low energy cutoff for ions with an energy less than 900 eV. The results reveal both ion and electron precipitation to be important production sources in the cusp region, but at markedly different altitudes. Electron precipitation produces dominant effects at F2 peak altitudes of around 300 km while the ions, at higher energies, are capable of creating a precipitation F1 ledge at altitudes of around 150 km. A simulation of the ion dispersion with latitude, known as the velocity filter effect, reveals that this leads to large enhancements in lower-altitude electron concentration on the equatorward edge of the cusp, the enhancement tailing off sharply in latitude.</t>
  </si>
  <si>
    <t>Univ Sheffield, Sch Math &amp; Stat, Upper Atmosphere Modelling Grp, Sheffield S3 7RH, S Yorkshire, England; British Antarctic Survey, Cambridge CB3 0ET, England</t>
  </si>
  <si>
    <t>University of Sheffield; UK Research &amp; Innovation (UKRI); Natural Environment Research Council (NERC); NERC British Antarctic Survey</t>
  </si>
  <si>
    <t>UCL, Atmospher Phys Lab, Dept Phys &amp; Astron, Mortimer St, London, England.</t>
  </si>
  <si>
    <t>george@apg.ph.ucl.ac.uk; r.moffett@sheffield.ac.uk; A.Rodger@bas.ac.uk</t>
  </si>
  <si>
    <t>2169-9380</t>
  </si>
  <si>
    <t>2169-9402</t>
  </si>
  <si>
    <t>J GEOPHYS RES-SPACE</t>
  </si>
  <si>
    <t>J. Geophys. Res-Space Phys.</t>
  </si>
  <si>
    <t>A11</t>
  </si>
  <si>
    <t>10.1029/1999JA900249</t>
  </si>
  <si>
    <t>Astronomy &amp; Astrophysics</t>
  </si>
  <si>
    <t>250XC</t>
  </si>
  <si>
    <t>WOS:000083414700003</t>
  </si>
  <si>
    <t>Pearce, JA; Kempton, PD; Nowell, GM; Noble, SR</t>
  </si>
  <si>
    <t>Hf-Nd element and isotope perspective on the nature and provenance of mantle and subduction components in Western Pacific arc-basin systems</t>
  </si>
  <si>
    <t>JOURNAL OF PETROLOGY</t>
  </si>
  <si>
    <t>Hf isotopes; mantle domains; arc-basin systems; Western Pacific; HFSE anomalies</t>
  </si>
  <si>
    <t>AUSTRALIAN-ANTARCTIC DISCORDANCE; U-SERIES ISOTOPES; ISLAND-ARC; TRACE-ELEMENT; MAGMA GENESIS; GEOCHEMICAL EVIDENCE; NORTHERN MARIANA; LESSER ANTILLES; VOLCANIC-ROCKS; 2.0 GPA</t>
  </si>
  <si>
    <t>This paper develops methods for using the integrated study of Hf-Nd element and Isotope covariations to define the nature and provenance of the mantle and subduction inputs to subduction systems. In particular:, it can be demonstrated that (1) Hf-Nd isotope space permits discrimination between mantle of Pacific and Indian provenance, (2) displacements from mantle arrays on Hf-Nd isotope anti trace element projections can be related to the magnitude, source and composition of the subduction input, and (3) Hf-Nd isotope and trace element covariations can be used to interpret high field strength element (HFSE) anomalies [specifically, Hf anomalies on extended rare earth element (REE) patterns] in subduction-related ma;magmas. These methods as tested using published volcanic are data coupled with new data from the many components of the Izu-Bonin-Mariana (IBM) subduction system, namely the pre-subduction marginal basins, the Eocene to Recent volcanic al-cs; and the crust, volcanogenic sediments and pelagic sediments of the subducting Pacific plate. The results of the IBM study show that the mantle that fed the IBM system was always of Indian provenance and that Pacific volcanogenic sediments make the most significant, though variable, contribution to the subduction component. Modelling demonstrates that the Nd/Hf ratio of the subduction component probably lay between 40 and infinity and thus was probably the main cause of the negative HI;SE anomalies that characterize much of the Recent arc. This result may further indicate that the subducting sediment lost elements to the mantle wedge mostly by dehydration rather than fusion. In contrast, the data also show that rile positive HS anomalies that characterize much of the Protoarc cannot be attributed directly to subduction. One option consistent with Hf-Nd systematics is that the positive Hf anomalies in the Protoarc boninites were caused by fusion of mafic veins in their shallow mantle sources. Comparison with published data on other arcs shows significant intel-are variations. For example, the subduction components in near-continent nrcs (Banda, Lesser Antilles) appear to have lower Nd/Hf ratios mom consistent with sediment fusion, and at least one are (Tonga-Fiji) carries evidence of temporal variations in mantle provenance.</t>
  </si>
  <si>
    <t>Univ Durham, Dept Geol Sci, Durham DH1 3LE, England; British Geol Survey, Isotope Geosci Lab, Keyworth NG12 5GG, Notts, England</t>
  </si>
  <si>
    <t>Durham University; UK Research &amp; Innovation (UKRI); Natural Environment Research Council (NERC); NERC British Geological Survey</t>
  </si>
  <si>
    <t>Pearce, JA (corresponding author), Univ Durham, Dept Geol Sci, Durham DH1 3LE, England.</t>
  </si>
  <si>
    <t>Pearce, Julian A/C-5807-2009</t>
  </si>
  <si>
    <t>Nowell, Geoff/0000-0003-3229-128X; Noble, Stephen/0000-0002-8966-2048</t>
  </si>
  <si>
    <t>OXFORD UNIV PRESS</t>
  </si>
  <si>
    <t>GREAT CLARENDON ST, OXFORD OX2 6DP, ENGLAND</t>
  </si>
  <si>
    <t>0022-3530</t>
  </si>
  <si>
    <t>J PETROL</t>
  </si>
  <si>
    <t>J. Petrol.</t>
  </si>
  <si>
    <t>10.1093/petrology/40.11.1579</t>
  </si>
  <si>
    <t>249JZ</t>
  </si>
  <si>
    <t>WOS:000083331100001</t>
  </si>
  <si>
    <t>Zenk, W; Siedler, G; Lenz, B; Hogg, NG</t>
  </si>
  <si>
    <t>Antarctic Bottom Water flow through the Hunter channel</t>
  </si>
  <si>
    <t>JOURNAL OF PHYSICAL OCEANOGRAPHY</t>
  </si>
  <si>
    <t>ATLANTIC OCEAN; SOUTH-ATLANTIC; FRACTURE-ZONE; BRAZIL BASIN; CIRCULATION</t>
  </si>
  <si>
    <t>The Rio Grande Rise acts as a natural barrier for the equatorward how of Antarctic Bottom Water in the subtropical South Atlantic. In addition to the Vema Channel, the Hunter Channel cuts through this obstacle and offers a separate route for bottom-water import into the southern Brazil Basin. On the occasion of the Deep Basin Experiment, a component of the World Ocean Circulation Experiment (WOCE), the expected deep flow through the Hunter Channel was directly observed for the first time by an array of moored current meters and thermistor chains from December 1992 to May 1994. Main results are (i) the Hunter Channel is, in fact, a conduit for bottom-water flow into the Brazil Basin. Our new mean transport from moored current meters [2.92 (+/- 1.24) x 10(6) m(3) s(-1)] is significantly higher than earlier estimates that were based on geostrophic calculations. (ii) During the WOCE observational period a tendency toward increased bottom-water temperatures was observed. This observation from the Hunter Channel is consistent with findings from the Vema Channel. (iii) The overflow through the Hunter Channel is highly variable and puts in perspective earlier synoptic geostrophic transport estimates.</t>
  </si>
  <si>
    <t>Univ Kiel, Inst Meereskunde, D-24105 Kiel, Germany; Woods Hole Oceanog Inst, Woods Hole, MA 02543 USA</t>
  </si>
  <si>
    <t>University of Kiel; Woods Hole Oceanographic Institution</t>
  </si>
  <si>
    <t>Zenk, W (corresponding author), Univ Kiel, Inst Meereskunde, Dusternbrooker Weg 20, D-24105 Kiel, Germany.</t>
  </si>
  <si>
    <t>0022-3670</t>
  </si>
  <si>
    <t>J PHYS OCEANOGR</t>
  </si>
  <si>
    <t>J. Phys. Oceanogr.</t>
  </si>
  <si>
    <t>10.1175/1520-0485(1999)029&lt;2785:ABWFTT&gt;2.0.CO;2</t>
  </si>
  <si>
    <t>258ZA</t>
  </si>
  <si>
    <t>WOS:000083868500003</t>
  </si>
  <si>
    <t>Murray, RJ; Reason, CJC</t>
  </si>
  <si>
    <t>Influences of topography on the modeling of abyssal water masses. Part I: Effects of channel representation</t>
  </si>
  <si>
    <t>ANTARCTIC BOTTOM WATER; WORLD OCEAN; FLOW; CIRCULATION; ATLANTIC; STRESS; BASIN</t>
  </si>
  <si>
    <t>Connections between basins below 4000 m, which may or may not be resolved in computer-generated model topography, have been found to have a considerable impact on the movement of Antarctic Bottom Water and on deep ocean temperatures. Blocked ridges produce sharply stepped tracer distributions and a complete absence of Antarctic influence in the North Atlantic. With channels opened, mass transports through them are of the right order, but interbasin gradients are too small and the water is too dense. Because mixing processes in the channels are poorly represented, some modification of channel properties may be necessary in order to achieve realistic water property distributions. This may be done by making local adjustments of diffusive and viscous coefficients, by the use of single width channels (which may be included inadvertently or by design in topography generation and which allow diffusive and limited advective exchanges between basins), and, when vertical resolution allows it, by an appropriate choice of sill depth at the interbasin channels. The various methods work by controlling the mixing of bottom water with deep water by advection and diapycnal diffusion.</t>
  </si>
  <si>
    <t>Univ Melbourne, Sch Earth Sci, Parkville, Vic 3052, Australia</t>
  </si>
  <si>
    <t>University of Melbourne</t>
  </si>
  <si>
    <t>Murray, RJ (corresponding author), Univ Melbourne, Sch Earth Sci, Parkville, Vic 3052, Australia.</t>
  </si>
  <si>
    <t>10.1175/1520-0485(1999)029&lt;2851:IOTOTM&gt;2.0.CO;2</t>
  </si>
  <si>
    <t>WOS:000083868500006</t>
  </si>
  <si>
    <t>Froneman, PW; McQuaid, CD; Laubscher, RK</t>
  </si>
  <si>
    <t>Size-fractionated primary production studies in the vicinity of the Subtropical Front and an adjacent warm-core eddy south of Africa in austral winter</t>
  </si>
  <si>
    <t>JOURNAL OF PLANKTON RESEARCH</t>
  </si>
  <si>
    <t>ATLANTIC SECTOR; PHYTOPLANKTON PRODUCTION; COMMUNITY STRUCTURE; CONVERGENCE REGION; BIOGENIC CARBON; OCEAN; BIOMASS; PHOTOSYNTHESIS; BLOOMS; IRON</t>
  </si>
  <si>
    <t>Results are presented of size-fractionated primary production studies conducted in the vicinity of the Subtropical Front (STF), an adjacent warm-core eddy, and in Sub-antarctic waters during the third South African Antarctic Marine Ecosystem Study (SAAMES III) in austral winter (June/July) 1993. Throughout the investigation, total chlorophyll (Chl a) biomass and production were dominated by small nano- and picophytoplankton. No distinct patterns in total Chi a were evident. At stations (n = 7) occupied in the vicinity of the STF, total integrated biomass values ranged from 31 to 53 mg Chi a m(-2). In the vicinity of the eddy, integrated biomass at the eddy edge (n = 3) ranged from 24 to 54 mg Chi a m(-2) and from 32 to 43 mg Chi a m(-2) in the eddy (n = 2). At the station occupied in the Sub-antarctic waters, total integrated biomass was 43 mg ChI a m(-2). Total daily integrated production was highest at stations occupied in the vicinity of the STF and at the eddy edge. Here, total integrated production ranged from 150 to 423 mg C m(-2) day(-1) and from 244 to 326 mg C m(-2) day(-1), respectively. In the eddy centre, total integrated production varied between 134 and 156 mg C m(-2) day(-1). At the station occupied in the Sub-antarctic waters, the lowest integrated production (141 mg C m(-2) day(-1)) during the entire survey was recorded. Availability of macronutrients did not appear to limit total production. However, the low silicate concentrations during the survey may account for the predominance of small nano- and picophytoplankton. Differences in production rates between the eddy edge and eddy core were related to water column stability. In contrast, at stations occupied in the vicinity of the STF, the control of phytoplankton production appears to be related to several processes, including water column stability and, possibly, iron availability.</t>
  </si>
  <si>
    <t>Rhodes Univ, Dept Zool &amp; Entomol, So Ocean Grp, ZA-6140 Grahamstown, South Africa</t>
  </si>
  <si>
    <t>Rhodes University</t>
  </si>
  <si>
    <t>Rhodes Univ, Dept Zool &amp; Entomol, So Ocean Grp, Box 94,, ZA-6140 Grahamstown, South Africa.</t>
  </si>
  <si>
    <t>Froneman, William/GLS-0460-2022; Froneman, William/C-9085-2012; McQuaid, Christopher/AAT-3725-2020</t>
  </si>
  <si>
    <t>Froneman, William/0000-0003-0615-1355; McQuaid, Christopher/0000-0002-3473-8308</t>
  </si>
  <si>
    <t>0142-7873</t>
  </si>
  <si>
    <t>1464-3774</t>
  </si>
  <si>
    <t>J PLANKTON RES</t>
  </si>
  <si>
    <t>J. Plankton Res.</t>
  </si>
  <si>
    <t>10.1093/plankt/21.11.2019</t>
  </si>
  <si>
    <t>Marine &amp; Freshwater Biology; Oceanography</t>
  </si>
  <si>
    <t>257KQ</t>
  </si>
  <si>
    <t>WOS:000083781400001</t>
  </si>
  <si>
    <t>Bart, PJ; De Batist, M; Jokat, W</t>
  </si>
  <si>
    <t>Interglacial collapse of Crary Trough-Mouth Fan, Weddell Sea, Antarctica: Implications for Antarctic glacial history</t>
  </si>
  <si>
    <t>JOURNAL OF SEDIMENTARY RESEARCH</t>
  </si>
  <si>
    <t>NORWEGIAN-GREENLAND SEA; ICE-SHEET; QUATERNARY SEDIMENTATION; SEISMIC STRATIGRAPHY; CONTINENTAL-MARGIN; GRAVITY FLOW; PENINSULA; PALEOCLIMATE; RECORD; FLUCTUATIONS</t>
  </si>
  <si>
    <t>In this study, we investigate the stratigraphy of a trough-mouth fan in the Weddell Sea to determine possible relationships between basin-floor stratigraphy and glaciation on Antarctica. Seismic data from the basin floor show a deep, broad, and elongate erosional channel filled by thick chaotic-facies deposits, basin-floor fans, and channel-levee deposits, From seismic-stratigraphy analysis of basin-floor stratigraphy, we infer that this channel formed by large-volume mass wasting sourced from poorly sorted glacial sediments from Crary Trough-Mouth Fan and Dronning Maud Land slopes. Correlation to ODP Leg 113 Site 693 suggests that the mass wasting of the slopes occurred in the early Pliocene, We surmise that collapse occurred during an early Pliocene interglacial and was related to major drawdown of the antarctic ice volume. Collapse was probably triggered by rebound and relative sea-level fall, a mathematically predicted geoidal effect related to antarctic ice-volume reduction. The record of this major ice-volume reduction is not manifest in the trough-mouth fan but rather is manifest in the basin-floor stratigraphy as a major backfilled erosional channel, which extends far beyond the trough-mouth fan.</t>
  </si>
  <si>
    <t>Louisiana State Univ, Dept Geol &amp; Geophys, Baton Rouge, LA 70803 USA; Univ Ghent, Renard Ctr Marine Geol, B-9000 Ghent, Belgium; Alfred Wegener Inst Polar &amp; Marine Res, D-27568 Bremerhaven, Germany</t>
  </si>
  <si>
    <t>Louisiana State University System; Louisiana State University; Ghent University; Helmholtz Association; Alfred Wegener Institute, Helmholtz Centre for Polar &amp; Marine Research</t>
  </si>
  <si>
    <t>Louisiana State Univ, Dept Geol &amp; Geophys, Baton Rouge, LA 70803 USA.</t>
  </si>
  <si>
    <t>pbart@unix1.sncc.lsu.edu</t>
  </si>
  <si>
    <t>De Batist, Marc/F-5722-2012</t>
  </si>
  <si>
    <t>De Batist, Marc/0000-0002-1625-2080; Jokat, Wilfried/0000-0002-7793-5854</t>
  </si>
  <si>
    <t>SEPM-SOC SEDIMENTARY GEOLOGY</t>
  </si>
  <si>
    <t>TULSA</t>
  </si>
  <si>
    <t>6128 EAST 38TH ST, STE 308, TULSA, OK 74135-5814 USA</t>
  </si>
  <si>
    <t>1527-1404</t>
  </si>
  <si>
    <t>1938-3681</t>
  </si>
  <si>
    <t>J SEDIMENT RES</t>
  </si>
  <si>
    <t>J. Sediment. Res.</t>
  </si>
  <si>
    <t>B</t>
  </si>
  <si>
    <t>10.2110/jsr.69.1276</t>
  </si>
  <si>
    <t>257LD</t>
  </si>
  <si>
    <t>WOS:000083782600011</t>
  </si>
  <si>
    <t>Millar, IL</t>
  </si>
  <si>
    <t>Neoproterozoic extensional basic magmatism associated with the West Highland granite gneiss in the Moine Supergroup of NW Scotland</t>
  </si>
  <si>
    <t>JOURNAL OF THE GEOLOGICAL SOCIETY</t>
  </si>
  <si>
    <t>Meeting on Current Controversies in the Caledonides</t>
  </si>
  <si>
    <t>SEP 09-10, 1997</t>
  </si>
  <si>
    <t>UNIV GLASGOW, DEPT GEOL &amp; APPL GEOL, GLASGOW, SCOTLAND</t>
  </si>
  <si>
    <t>UNIV GLASGOW, DEPT GEOL &amp; APPL GEOL</t>
  </si>
  <si>
    <t>Scotland; Neoproterozoic; Moine Supergroup; Caledonides; rifting</t>
  </si>
  <si>
    <t>NORTHWEST SCOTLAND; INVERNESS-SHIRE; PB; ZIRCON; AGE; GEOCHRONOLOGY; ROCKS; EVOLUTION; GRAMPIAN; EVENTS</t>
  </si>
  <si>
    <t>Pre-tectonic metagabbroic rocks emplaced into the Glenfinnan and Loch Eil groups of the Moine Supergroup give a U-Pb zircon age of 873 +/- 6 Ma. This new age for the metagabbros confirms the absence of Grenvillian (c. 1.0 Ga) tectonic events in the Moine assemblage. The metagabbros are spatially associated with the Glen Doe body of the West Highland granite gneiss, and were emplaced soon after the granite gneiss protolith. The metagabbros have chemical characteristics indicating contamination with local country rocks. A regionally developed suite of tholeiitic metadolerite dykes post-dates the metagabbros. These dykes are geochemically similar to modern mid-ocean ridge basalt, albeit modified by interaction with metamorphic fluids. The presence of abundant MORE-like basaltic dykes, coupled with the lack of major compressional structures associated with the intrusive events, suggests that the c. 873 Ma event may have been dominated by extensional tectonics.</t>
  </si>
  <si>
    <t>British Antarctic Survey, Kingsley Dunham Ctr, NERC Isotope Geosci Lab, Keyworth NG12 5GG, Notts, England</t>
  </si>
  <si>
    <t>UK Research &amp; Innovation (UKRI); Natural Environment Research Council (NERC); NERC British Antarctic Survey; NERC British Geological Survey</t>
  </si>
  <si>
    <t>Millar, IL (corresponding author), British Antarctic Survey, Kingsley Dunham Ctr, NERC Isotope Geosci Lab, Keyworth NG12 5GG, Notts, England.</t>
  </si>
  <si>
    <t>Millar, Ian L/F-1541-2010</t>
  </si>
  <si>
    <t>GEOLOGICAL SOC PUBL HOUSE</t>
  </si>
  <si>
    <t>BATH</t>
  </si>
  <si>
    <t>UNIT 7, BRASSMILL ENTERPRISE CENTRE, BRASSMILL LANE, BATH, AVON, ENGLAND BA1 3JN</t>
  </si>
  <si>
    <t>0016-7649</t>
  </si>
  <si>
    <t>J GEOL SOC LONDON</t>
  </si>
  <si>
    <t>J. Geol. Soc.</t>
  </si>
  <si>
    <t>10.1144/gsjgs.156.6.1153</t>
  </si>
  <si>
    <t>254ZW</t>
  </si>
  <si>
    <t>WOS:000083645200015</t>
  </si>
  <si>
    <t>Rogers, M</t>
  </si>
  <si>
    <t>The heart of the Antarctic.</t>
  </si>
  <si>
    <t>LIBRARY JOURNAL</t>
  </si>
  <si>
    <t>Book Review</t>
  </si>
  <si>
    <t>REED BUSINESS INFORMATION</t>
  </si>
  <si>
    <t>360 PARK AVENUE SOUTH, NEW YORK, NY 10010 USA</t>
  </si>
  <si>
    <t>0363-0277</t>
  </si>
  <si>
    <t>LIBR J</t>
  </si>
  <si>
    <t>Libr. J.</t>
  </si>
  <si>
    <t>Information Science &amp; Library Science</t>
  </si>
  <si>
    <t>Social Science Citation Index (SSCI)</t>
  </si>
  <si>
    <t>250MY</t>
  </si>
  <si>
    <t>WOS:000083393200343</t>
  </si>
  <si>
    <t>Figueiras, FG; Arbones, B; Estrada, M</t>
  </si>
  <si>
    <t>Implications of bio-optical modeling of phytoplankton photosynthesis in Antarctic waters: Further evidence of no light limitation in the Bransfield Strait</t>
  </si>
  <si>
    <t>LIMNOLOGY AND OCEANOGRAPHY</t>
  </si>
  <si>
    <t>QUANTUM YIELD; AUSTRAL SUMMER; VARIABILITY; ABSORPTION; REGION; SEA; IRON</t>
  </si>
  <si>
    <t>During the cruise ECOANTAR 94 photosynthesis versus irradiance relationships, phytoplankton spectral absorption, quantum yield of carbon fixation, and water column Light regime were determined in the eastern Bransfield Strait and surrounding areas of the Weddell Sea and Weddell-Scotia Confluence, to determine if photosynthesis is Light Limited in these areas. There were no significant differences in the light-saturated chlorophyll-specific rate of photosynthesis (P-m(B)), light-limited slope (alpha(B)), light saturation parameter (E-kPAR), and the maximum quantum yield (phi(m)) between surface and subsurface water for several water masses in the area, which indicates that the photosynthetic response in the upper mixed layer was uniform. There were also no significant differences between the spectral light saturation parameter (E-kPAR) and the mean absorbed irradiance by phytoplankton in the upper mixed layer (E-umlPUR). These similarities suggest that phytoplankton photosynthesis was not light limited in this Antarctic region during the cruise period. This was also affirmed by the fact that the average operational quantum yield of the water column (0.03 mol C [mol photons](-1)) was half of the mean maximum quantum yield (0.06 mol C [mol photons](-1)). Primary production is underestimated by 24% when broadband models are compared with spectral ones. These results have important implications for the modeling of carbon flows in the Southern Ocean.</t>
  </si>
  <si>
    <t>CSIC, Inst Invest Marinas, Vigo 36208, Spain; CSIC, Inst Ciencias Mar, E-08039 Barcelona, Spain</t>
  </si>
  <si>
    <t>Consejo Superior de Investigaciones Cientificas (CSIC); CSIC - Instituto de Investigaciones Marinas (IIM); Consejo Superior de Investigaciones Cientificas (CSIC); CSIC - Centro Mediterraneo de Investigaciones Marinas y Ambientales (CMIMA); CSIC - Instituto de Ciencias del Mar (ICM)</t>
  </si>
  <si>
    <t>Figueiras, FG (corresponding author), CSIC, Inst Invest Marinas, Eduardo Cabello 6, Vigo 36208, Spain.</t>
  </si>
  <si>
    <t>Figueiras, Francisco/A-5034-2008; Estrada, Marta/L-6207-2014</t>
  </si>
  <si>
    <t>Figueiras, Francisco/0000-0003-1810-4935; Estrada, Marta/0000-0001-5769-9498; Arbones, Belen/0000-0001-5185-1217</t>
  </si>
  <si>
    <t>0024-3590</t>
  </si>
  <si>
    <t>1939-5590</t>
  </si>
  <si>
    <t>LIMNOL OCEANOGR</t>
  </si>
  <si>
    <t>Limnol. Oceanogr.</t>
  </si>
  <si>
    <t>10.4319/lo.1999.44.7.1599</t>
  </si>
  <si>
    <t>Limnology; Oceanography</t>
  </si>
  <si>
    <t>251LJ</t>
  </si>
  <si>
    <t>Green Submitted</t>
  </si>
  <si>
    <t>WOS:000083446900001</t>
  </si>
  <si>
    <t>Starmans, A; Gutt, J; Arntz, WE</t>
  </si>
  <si>
    <t>Mega-epibenthic communities in Arctic and Antarctic shelf areas</t>
  </si>
  <si>
    <t>MARINE BIOLOGY</t>
  </si>
  <si>
    <t>BRITTLE STARS ECHINODERMATA; WEDDELL SEA ANTARCTICA; SPATIAL-DISTRIBUTION; BERING SEA; CONTINENTAL-SHELF; BARENTS SEA; ABUNDANCE; BENTHOS; BIOMASS; DISTURBANCE</t>
  </si>
  <si>
    <t>Mega-epibenthic shelf assemblages were investigated off Northeast Greenland and in the Weddell, Bellingshausen and Amundsen Seas in the Antarctic using underwater video. In the Arctic a total of 94 taxa represented by more than 100 000 individuals were identified. Echinoderms, particularly brittle stars, were the most important elements of the mega-epibenthic fauna on the shelf off Northeast Greenland. Multivariate analyses of the species distribution revealed a conspicuous depth zonation in which an assemblage on the shallow banks can be clearly distinguished from that in the troughs. Between these a transitional zone with a heterogeneous benthic fauna was found. Physical disturbances are supposed to be responsible for the pronounced dominance patterns observed on the shallow banks. The fauna in the troughs, which consists of more than 50% suspension feeders, is diverse but low in numbers of individuals. In the Antarctic more than 115 000 individuals belonging to 169 taxa were analyzed. Obvious faunal differences exist between the stations in the Weddell Sea and the Bellingshausen/Amundsen Seas. Assemblages of suspension feeders dominated by sponges and bryozoans are prevalent on the shelf of the eastern Weddell Sea, but almost absent in the Bellingshausen and Amundsen Seas. These assemblages seem to be restricted to areas where bottom currents provide favourable feeding conditions. However, motile deposit feeders are more abundant in both regions where there is a soft bottom substrate with presumably slow bottom currents and reduced horizontal transport of organic particles.</t>
  </si>
  <si>
    <t>Alfred Wegener Inst Polar &amp; Marine Res, D-27568 Bremerhaven, Germany</t>
  </si>
  <si>
    <t>Helmholtz Association; Alfred Wegener Institute, Helmholtz Centre for Polar &amp; Marine Research</t>
  </si>
  <si>
    <t>Starmans, A (corresponding author), Alfred Wegener Inst Polar &amp; Marine Res, Columbusstr, D-27568 Bremerhaven, Germany.</t>
  </si>
  <si>
    <t>Gutt, Julian/0000-0003-3773-9370; Starmans, Andreas/0000-0001-8829-0054</t>
  </si>
  <si>
    <t>0025-3162</t>
  </si>
  <si>
    <t>MAR BIOL</t>
  </si>
  <si>
    <t>Mar. Biol.</t>
  </si>
  <si>
    <t>10.1007/s002270050624</t>
  </si>
  <si>
    <t>Marine &amp; Freshwater Biology</t>
  </si>
  <si>
    <t>258KW</t>
  </si>
  <si>
    <t>WOS:000083839200007</t>
  </si>
  <si>
    <t>Spilliaert, R; Gudmundsdóttir, A</t>
  </si>
  <si>
    <t>Atlantic cod trypsin Y -: Member of a novel trypsin group</t>
  </si>
  <si>
    <t>MARINE BIOTECHNOLOGY</t>
  </si>
  <si>
    <t>trypsinogen; Atlantic cod; psychrophilic; serine protease; cDNA sequence</t>
  </si>
  <si>
    <t>PANCREATIC TRYPSINOGENS; NUCLEOTIDE-SEQUENCES; GADUS-MORHUA; CDNAS; SPECIFICITY; SALMON</t>
  </si>
  <si>
    <t>A unique trypsinogen complementary DNA has been isolated from an Atlantic cod (Gadus morhua) cDNA library. Its predicted amino acid sequence contains 249 residues with a putative polypeptide of 227 residues. The distinctive features of this polypeptide, referred to as trypsin Y, are its low number of hydrogen-bond-forming residues, high content of Met and Pro residues, and lack of one conserved disulfide bond. Alignments show that cod trypsinogen Y has only approximately 45% identity to the two Atlantic cod trypsinogens I and,Y and most vertebrate trypsinogens. However, it has more than 70% identity to three other fish trypsinogens from two Pleuronectes and an Antarctic Notothenia species. These four trypsinogens share some unique characteristics and form a novel group, here referred to as group III.</t>
  </si>
  <si>
    <t>Univ Iceland, Inst Sci, Dept Food Sci, IS-101 Reykjavik, Iceland</t>
  </si>
  <si>
    <t>University of Iceland</t>
  </si>
  <si>
    <t>Univ Iceland, Inst Sci, Dept Food Sci, Vatnsmyrarvegur 16, IS-101 Reykjavik, Iceland.</t>
  </si>
  <si>
    <t>ag@raunvis.hi.is</t>
  </si>
  <si>
    <t>ONE NEW YORK PLAZA, SUITE 4600, NEW YORK, NY, UNITED STATES</t>
  </si>
  <si>
    <t>1436-2228</t>
  </si>
  <si>
    <t>1436-2236</t>
  </si>
  <si>
    <t>MAR BIOTECHNOL</t>
  </si>
  <si>
    <t>Mar. Biotechnol.</t>
  </si>
  <si>
    <t>10.1007/PL00011815</t>
  </si>
  <si>
    <t>Biotechnology &amp; Applied Microbiology; Marine &amp; Freshwater Biology</t>
  </si>
  <si>
    <t>270UK</t>
  </si>
  <si>
    <t>WOS:000084555300009</t>
  </si>
  <si>
    <t>Nees, S; Armand, L; De Deckker, P; Labracherie, M; Passlow, V</t>
  </si>
  <si>
    <t>A diatom and benthic foraminiferal record from the South Tasman Rise (southeastern Indian Ocean): implications for palaeoceanographic changes for the last 200,000 years</t>
  </si>
  <si>
    <t>MARINE MICROPALEONTOLOGY</t>
  </si>
  <si>
    <t>palaeo-oceanography; benthic foraminifera; diatoms; productivity; southwest Pacific; South Tasman Rise</t>
  </si>
  <si>
    <t>LATE QUATERNARY PALEOCEANOGRAPHY; GLACIAL MAXIMUM; BIOGENIC SILICA; SURFACE SEDIMENTS; PARTICLE-FLUX; SEA SEDIMENTS; DISSOLUTION; AUSTRALIA; PACIFIC; ASSEMBLAGES</t>
  </si>
  <si>
    <t>The last two glacial/interglacial cycles represented in core MD88-779 in the southeastern Indian Ocean over the South Tasman Rise (47 degrees 50.69'S, 146 degrees 32.75'E; 2260 m water depth) have been analysed. An oceanographic reconstruction for this region is presented, based principally on the recovery of benthic foraminiferal and diatom assemblages. The most striking feature of the microfossil record from core MD88-779 is the 'lack' of diatoms during glacials, despite evidence of high oceanic productivity. Benthic foraminiferal data suggest significant increases in ocean surface productivity during glacial periods and, in particular, during isotopic stages 2, late 3 and 6. For these periods of elevated surface productivity, substantial, and at times total, dissolution of diatom frustules occurred. We propose that increased influx of aeolian dust and especially associated iron during glacial periods may have reduced the intake of silica in diatoms, thus resulting in less silicified diatoms. Additionally, winnowing is suggested to have removed remaining frustules from the sedimentary record. Increased productivity at the sea-surface is indicative that both the Subtropical Front and the Subantarctic Front may have shifted northward during glacial periods and that the Subantarctic Front was near the coring site on the South Tasman Rise for these periods. We also postulate, based on diatom floral evidence, that southward-moving eddies generated by the subtropical East Australian Current may have intermittently reached the coring site even during glacial periods. (C) 1999 Elsevier Science B.V. All rights reserved.</t>
  </si>
  <si>
    <t>GEOMAR, Res Ctr Marine Geosci, D-24148 Kiel, Germany; Australian Natl Univ, Dept Geol, Australian Marine Quaternary Program, Canberra, ACT 0200, Australia; Univ Tasmania, Inst Antarctic &amp; So Ocean Studies, Hobart, Tas 7001, Australia; Univ Bordeaux 1, Dept Geol &amp; Oceanog, CNRS, URA 197, F-33405 Talence, France; Australian Geol Survey Org, Canberra, ACT 2601, Australia</t>
  </si>
  <si>
    <t>Helmholtz Association; GEOMAR Helmholtz Center for Ocean Research Kiel; Australian National University; University of Tasmania; Universite de Bordeaux; Centre National de la Recherche Scientifique (CNRS); Geoscience Australia</t>
  </si>
  <si>
    <t>GEOMAR, Res Ctr Marine Geosci, Wischhofstr 1-3, D-24148 Kiel, Germany.</t>
  </si>
  <si>
    <t>snees@geomar.de</t>
  </si>
  <si>
    <t>Armand, Leanne K/C-9004-2009</t>
  </si>
  <si>
    <t>Armand, Leanne/0000-0003-3995-308X</t>
  </si>
  <si>
    <t>ELSEVIER</t>
  </si>
  <si>
    <t>RADARWEG 29, 1043 NX AMSTERDAM, NETHERLANDS</t>
  </si>
  <si>
    <t>0377-8398</t>
  </si>
  <si>
    <t>1872-6186</t>
  </si>
  <si>
    <t>MAR MICROPALEONTOL</t>
  </si>
  <si>
    <t>Mar. Micropaleontol.</t>
  </si>
  <si>
    <t>10.1016/S0377-8398(99)00039-0</t>
  </si>
  <si>
    <t>Paleontology</t>
  </si>
  <si>
    <t>258KP</t>
  </si>
  <si>
    <t>WOS:000083838600005</t>
  </si>
  <si>
    <t>Savours, A</t>
  </si>
  <si>
    <t>Fifteen months in the Antarctic</t>
  </si>
  <si>
    <t>MARINERS MIRROR</t>
  </si>
  <si>
    <t>SOC NAUTICAL RESEARCH</t>
  </si>
  <si>
    <t>NATIONAL MARITIME MUSEUM GREENWICH, LONDON, ENGLAND SE10 9NF</t>
  </si>
  <si>
    <t>0025-3359</t>
  </si>
  <si>
    <t>Mar. Mirror</t>
  </si>
  <si>
    <t>History</t>
  </si>
  <si>
    <t>Arts &amp; Humanities Citation Index (A&amp;HCI)</t>
  </si>
  <si>
    <t>256MG</t>
  </si>
  <si>
    <t>WOS:000083728600033</t>
  </si>
  <si>
    <t>Detrich, HW; Parker, SK; Nogales, E; Downing, KH</t>
  </si>
  <si>
    <t>Cold adaptation of microtubule assembly: Three-dimensional interpretation of the primary structures of tubulins from antarctic fishes</t>
  </si>
  <si>
    <t>MOLECULAR BIOLOGY OF THE CELL</t>
  </si>
  <si>
    <t>Northeastern Univ, Dept Biol, Boston, MA USA; Lawrence Berkeley Natl Lab, Berkeley, CA USA</t>
  </si>
  <si>
    <t>Northeastern University; United States Department of Energy (DOE); Lawrence Berkeley National Laboratory</t>
  </si>
  <si>
    <t>AMER SOC CELL BIOLOGY</t>
  </si>
  <si>
    <t>BETHESDA</t>
  </si>
  <si>
    <t>PUBL OFFICE, 9650 ROCKVILLE PIKE, BETHESDA, MD 20814 USA</t>
  </si>
  <si>
    <t>1059-1524</t>
  </si>
  <si>
    <t>MOL BIOL CELL</t>
  </si>
  <si>
    <t>Mol. Biol. Cell</t>
  </si>
  <si>
    <t>S</t>
  </si>
  <si>
    <t>143A</t>
  </si>
  <si>
    <t>Cell Biology</t>
  </si>
  <si>
    <t>255MW</t>
  </si>
  <si>
    <t>WOS:000083673500829</t>
  </si>
  <si>
    <t>Bowser, SS; Hayden, JH</t>
  </si>
  <si>
    <t>Early events in shell morphogenesis in the giant antarctic protist Astrammina rara.</t>
  </si>
  <si>
    <t>Wadsworth Ctr, Albany, NY 12201 USA; Siena Coll, Londonville, NY USA</t>
  </si>
  <si>
    <t>Wadsworth Center</t>
  </si>
  <si>
    <t>462A</t>
  </si>
  <si>
    <t>WOS:000083673502672</t>
  </si>
  <si>
    <t>Pistorius, PA; Bester, MN; Kirkman, SP</t>
  </si>
  <si>
    <t>Survivorship of a declining population of southern elephant seals, Mirounga leonina, in relation to age, sex and cohort</t>
  </si>
  <si>
    <t>OECOLOGIA</t>
  </si>
  <si>
    <t>survival; decline; mark-recapture; elephant seals; Marion Island</t>
  </si>
  <si>
    <t>ANTARCTIC FUR SEALS; MARION-ISLAND; LEPTONYCHOTES-WEDDELLI; MACQUARIE-ISLAND; LARGE HERBIVORES; ADULT SURVIVAL; MARKED ANIMALS; DYNAMICS; DEMOGRAPHY; MOVEMENTS</t>
  </si>
  <si>
    <t>This study quantified both the age- and sex-specific survival rates of juveniles and adults, and tested for interannual differences in age-specific survival rates of the southern elephant seal population at Marion Island. Pups were tagged on an annual basis from 1983 onwards at Marion Island, and a consistent recapture program yielded data that was analysed using the software package MARK to obtain maximum-likelihood estimates of survival and capture probability. On average, Ist-year survival was 0.58 and 0.62, and survival rate averaged over the first 3 years of life, 0.69 and 0.74 for males and females, respectively. From years 4 to 9, the average survival rate was 0.66 and 0.75 for males and females, respectively. Survival estimates for elephant seals in their 10th-13th year are also presented, although these are based on very small sample sizes. Averages of age-specific survival estimates from the earlier (mostly 1983-1987 cohorts) and later (mostly 1988-1992 cohorts) periods were compared and considerable reductions were observed in 4th- and 5th-year male survival, and 4th-year female survival. The comparatively low adult survival is suggested as the proximate cause, and food limitation as deduced from the decline in survival of elephant seals with comparatively high energetic demands as the ultimate cause behind the population decline at Marion Island. Although not tied in with the decline of the population, 1987, 1990 and 1993 were identified as high-mortality years.</t>
  </si>
  <si>
    <t>Univ Pretoria, Dept Zool &amp; Entomol, Mammal Res Inst, ZA-0002 Pretoria, South Africa</t>
  </si>
  <si>
    <t>University of Pretoria</t>
  </si>
  <si>
    <t>Pistorius, PA (corresponding author), Univ Pretoria, Dept Zool &amp; Entomol, Mammal Res Inst, ZA-0002 Pretoria, South Africa.</t>
  </si>
  <si>
    <t>Kirkman, Stephen/AAA-9139-2021; Bester, Marthán N/E-5387-2010</t>
  </si>
  <si>
    <t>Kirkman, Stephen/0000-0001-5428-7375; Pistorius, Pierre/0000-0001-6561-7069</t>
  </si>
  <si>
    <t>0029-8549</t>
  </si>
  <si>
    <t>Oecologia</t>
  </si>
  <si>
    <t>10.1007/s004420050922</t>
  </si>
  <si>
    <t>258NY</t>
  </si>
  <si>
    <t>WOS:000083846300007</t>
  </si>
  <si>
    <t>Lavrenov, IV; Polnikov, VG; Krasitskii, VP</t>
  </si>
  <si>
    <t>A kinetic equation for weak non-linear surface waves in a sea covered with broken ice</t>
  </si>
  <si>
    <t>OKEANOLOGIYA</t>
  </si>
  <si>
    <t>REDUCED EQUATIONS</t>
  </si>
  <si>
    <t>Hamiltonian formalism was constructed for the initial equations describing the wave motion in the water covered with broken ice. Canonical variables were found and matrix elements were obtained in the explicit form for the Hamilton written in the standard form of normal variables. The final four-wave equation is presented.</t>
  </si>
  <si>
    <t>Arctic &amp; Antarctic Res Inst, St Petersburg 199226, Russia; Natl Acad Sci Ukraine, Inst Marine Hydrophys, Sevastopol, Ukraine; PP Shirshov Oceanol Inst, Moscow, Russia</t>
  </si>
  <si>
    <t>Arctic &amp; Antarctic Research Institute; National Academy of Sciences Ukraine; Russian Academy of Sciences; Shirshov Institute of Oceanology</t>
  </si>
  <si>
    <t>Lavrenov, IV (corresponding author), Arctic &amp; Antarctic Res Inst, St Petersburg 199226, Russia.</t>
  </si>
  <si>
    <t>0030-1574</t>
  </si>
  <si>
    <t>OKEANOLOGIYA+</t>
  </si>
  <si>
    <t>Okeanologiya</t>
  </si>
  <si>
    <t>275NY</t>
  </si>
  <si>
    <t>WOS:000084827300001</t>
  </si>
  <si>
    <t>Pardo, A; Adatte, T; Keller, G; Oberhänsli, H</t>
  </si>
  <si>
    <t>Paleoenvironmental changes across the Cretaceous-Tertiary boundary at Koshak, Kazakhstan, based on planktic foraminifera and clay mineralogy</t>
  </si>
  <si>
    <t>PALAEOGEOGRAPHY PALAEOCLIMATOLOGY PALAEOECOLOGY</t>
  </si>
  <si>
    <t>Kazakhstan; K/T boundary; planktic foraminifera; clay minerals</t>
  </si>
  <si>
    <t>EL-KEF; MASS EXTINCTION; ENVIRONMENTAL-CHANGES; GLOBAL IMPLICATIONS; PALEOGENE BOUNDARY; ANTARCTIC OCEAN; STABLE ISOTOPE; HIGH-LATITUDES; TRANSITION; TUNISIA</t>
  </si>
  <si>
    <t>The Koshak section of the Mangyshlack Peninsula, Kazakhstan, is one of the most complete Cretaceous-Tertiary (K-T) transitions known from the boreal Paratethys. Cretaceous species richness is low (11 to 13 species), except for a peak of 20 species near the K/T boundary in the uppermost Maastrichtian (top 50 cm) that represents the temporary incursion of low-latitude taxa. This maximum species richness occurred during climatic warming associated with increased humidity, as suggested by clay mineral analyses. Biofacies analysis suggests external platform conditions at this time, followed by a more humid climate, a sea-level transgression, and deepening basinal facies in the lower Danian Subzone P1a. Shallower platform conditions resumed in Danian Subzones P1b and P1c, accompanied by a cooler and probably more arid climate. No abrupt mass extinction occurred at the Koshak K/T boundary which is marked by an Ir anomaly, a clay layer and the first appearance of Tertiary planktic foraminifera. The influx of lower-latitude species ends at or before the K/T boundary, whereas the majority of the indigenous Cretaceous assemblage survived into the Danian. These data suggest that long-term climatic changes may have been the principal factors in the progressive demise of the Cretaceous planktic foraminifera in the eastern boreal Paratethys. (C) 1999 Elsevier Science B.V. All rights reserved.</t>
  </si>
  <si>
    <t>Princeton Univ, Dept Geosci, Princeton, NJ 08544 USA; Inst Geol, CH-2007 Neuchatel, Switzerland; Alfred Wegener Inst Polar &amp; Marine Res, Forsch Stelle Potsdam, D-14473 Potsdam, Germany</t>
  </si>
  <si>
    <t>Princeton University; Helmholtz Association; Alfred Wegener Institute, Helmholtz Centre for Polar &amp; Marine Research</t>
  </si>
  <si>
    <t>Princeton Univ, Dept Geosci, Princeton, NJ 08544 USA.</t>
  </si>
  <si>
    <t>pardo@posta.unizar.es</t>
  </si>
  <si>
    <t>0031-0182</t>
  </si>
  <si>
    <t>1872-616X</t>
  </si>
  <si>
    <t>PALAEOGEOGR PALAEOCL</t>
  </si>
  <si>
    <t>Paleogeogr. Paleoclimatol. Paleoecol.</t>
  </si>
  <si>
    <t>10.1016/S0031-0182(99)00114-5</t>
  </si>
  <si>
    <t>Geography, Physical; Geosciences, Multidisciplinary; Paleontology</t>
  </si>
  <si>
    <t>Physical Geography; Geology; Paleontology</t>
  </si>
  <si>
    <t>253MM</t>
  </si>
  <si>
    <t>WOS:000083560400007</t>
  </si>
  <si>
    <t>Greenland, D</t>
  </si>
  <si>
    <t>Enso-related phenomena at long-term ecological research sites</t>
  </si>
  <si>
    <t>PHYSICAL GEOGRAPHY</t>
  </si>
  <si>
    <t>Long-Term Ecological Research (LTER); ecosystem; El Nino-Southern Oscillation (ENSO); El Nino; La Nina; climate variability</t>
  </si>
  <si>
    <t>I outline a framework for investigating and discussing climate variability and ecosystem response. The example of an El Nino-Southern Oscillation (ENSO) event is a relatively simple one for operationalizing this framework. I review some of the earlier findings related to Fl Ninos and Long-Term Ecological Research (LTER) sites. Then I perform an analysis for the period 1957 to 1990 investigating the response of monthly mean temperature and monthly total precipitation standardized anomaly values to El Nino and La Nina events as indicated by the Southern Oscillation Index (SOI). Different LTER sites manifest strong, detectable, and weak or no climatic signals to El Nino and Fa Nina events. Some of the effects of the ENSO-related climate variability on selected ecosystems are discussed. A statistically significant climate signal at an LTER site does not necessarily mean there will be an ecologically significant response. El Nino signals in the temperature series at the Andrews Forest, Oregon, the Luquillo Rain Forest, Puerto Rico, and the Palmer, Antarctic (PAL), sites are found to be statistically the strongest. Of these, only the signal at the PAL site has an important ecological effect. Somewhat less statistically strong ENSO signals at the Northern Temperate Lakes, Wisconsin, and the Sevilleta, New Mexico, sites have important ecological effects. An analysis of the climatic response to the 1982/1983 super El Nino compared to more normal size warm events is equivocal. The results of the correlation analysis are discussed within the climate variability/ecosystem response framework previously outlined. The timing of the ENSO event and the identification of an ecosystem coupling mechanism are critical for this particular form of climate variability to have an effect.</t>
  </si>
  <si>
    <t>Univ N Carolina, Dept Geog, Chapel Hill, NC 27499 USA</t>
  </si>
  <si>
    <t>University of North Carolina; University of North Carolina Chapel Hill</t>
  </si>
  <si>
    <t>Greenland, D (corresponding author), Univ N Carolina, Dept Geog, Chapel Hill, NC 27499 USA.</t>
  </si>
  <si>
    <t>V H WINSTON &amp; SON INC</t>
  </si>
  <si>
    <t>PALM BEACH</t>
  </si>
  <si>
    <t>360 SOUTH OCEAN BLVD, PH-B, PALM BEACH, FL 33480 USA</t>
  </si>
  <si>
    <t>0272-3646</t>
  </si>
  <si>
    <t>PHYS GEOGR</t>
  </si>
  <si>
    <t>Phys. Geogr.</t>
  </si>
  <si>
    <t>10.1080/02723646.1999.10642692</t>
  </si>
  <si>
    <t>Environmental Sciences; Geography, Physical; Geosciences, Multidisciplinary; Meteorology &amp; Atmospheric Sciences</t>
  </si>
  <si>
    <t>Environmental Sciences &amp; Ecology; Physical Geography; Geology; Meteorology &amp; Atmospheric Sciences</t>
  </si>
  <si>
    <t>318KC</t>
  </si>
  <si>
    <t>WOS:000087282100004</t>
  </si>
  <si>
    <t>Ward, P; Shreeve, RS</t>
  </si>
  <si>
    <t>The spring mesozooplankton community at South Georgia: a comparison of shelf and oceanic sites</t>
  </si>
  <si>
    <t>POLAR BIOLOGY</t>
  </si>
  <si>
    <t>RHINCALANUS-GIGAS COPEPODA; CALANOIDES-ACUTUS; WEDDELL SEA; CALANUS-FINMARCHICUS; FEEDING SELECTIVITY; GERLACHE STRAIT; GRAZING IMPACT; EGG-PRODUCTION; CHLOROPHYLL-A; LIFE-CYCLES</t>
  </si>
  <si>
    <t>Mesozooplankton (predominantly 200-2000 mu m) were sampled at a shelf and an oceanic station close to South Georgia, South Atlantic, during austral spring (October/November) 1997. Onshelf zooplankton biomass was extremely high at 10-16 g dry mass m(-2) (0-150 m), 70% comprising the small neritic clausocalaniid copepod Drepanopus forcipatus. Large calanoid species, principally Calanoides acutus and Rhincalanus gigas, contributed only 8-10%. At the oceanic station, biomass in the sampled water column (0-1000 m) was similar to 6.5 g dry mass m(-2) and 4-6 g dry mass m(-2) in the top 200 m. Here, large calanoids composed 40-50% of the standing stock. Antarctic krill (Euphausia superba) occurred in low abundances at both stations. Vertical profiles obtained with a Longhurst Hardy Plankton Recorder indicated that populations of C. acutus and R, gigas, which overwinter at depth, had completed their spring ascent and were resident in surface waters. Dry mass, carbon and lipid values were lower than found in summer but were consistent with overwintered populations. Phytoplankton concentrations were considerably higher at the oceanic station (2-3 mg chlorophyll a m(-3)) and increased over the time on station. In response to this, egg production of both large calanoid species and growth rates of R. gigas approached those measured in summer. Onshelf phytoplankton concentrations were lower (&lt;1 mg m(-3)), and low egg production rates suggested food limitation, Here phytoplankton rations equivalent to 6% zooplankton body C would have been sufficient to clear primary production whereas at the oceanic station daily carbon fixation was broadly equivalent to zooplankton carbon biomass.</t>
  </si>
  <si>
    <t>Ward, P (corresponding author), British Antarctic Survey, NERC, High Cross,Madingley Rd, Cambridge CB3 0ET, England.</t>
  </si>
  <si>
    <t>0722-4060</t>
  </si>
  <si>
    <t>POLAR BIOL</t>
  </si>
  <si>
    <t>Polar Biol.</t>
  </si>
  <si>
    <t>10.1007/s003000050422</t>
  </si>
  <si>
    <t>Biodiversity Conservation; Ecology</t>
  </si>
  <si>
    <t>Biodiversity &amp; Conservation; Environmental Sciences &amp; Ecology</t>
  </si>
  <si>
    <t>250FR</t>
  </si>
  <si>
    <t>WOS:000083378800001</t>
  </si>
  <si>
    <t>Vanucci, S; Bruni, V</t>
  </si>
  <si>
    <t>Small nanoplankton and bacteria in the Western Ross Sea during sea-ice retreat (spring 1994)</t>
  </si>
  <si>
    <t>KRILL EUPHAUSIA-SUPERBA; WEDDELL-SCOTIA CONFLUENCE; PREY SIZE SELECTION; SOUTHERN-OCEAN; PHYTOPLANKTON; ANTARCTICA; BIOMASS; GROWTH; SUMMER; ZONE</t>
  </si>
  <si>
    <t>Spatial changes of small nanoplankton (2-10 mu m) were investigated in relation to sea-ice conditions, hydrography and receding ice processes in the Ross Sea (Antarctica) during spring 1994. Abundance and biomass of heterotrophic and autotrophic nanoplankton, as well as bacterioplankton, were determined along a south-north transect from the open waters polynya towards the pack ice. Autotrophic and heterotrophic nanoplankton biomass ranged from 758 to 4570 mgC m(-2) and from 3 to 387 mgC m(-2), respectively. Heterotrophic nanoplankton accounted, on average, for about 9% of the total (i.e. autotrophic plus heterotrophic) nanoplankton biomass, The size structure of both auto- and heterotrophic nanoplankton in the Ross Sea continental shelf receding ice edge was different from that of nanoplankton associated with the shelf break and open Antarctic ice-edge area. Generally, the highest heterotrophic biomass was found in the pack-ice zone on the continental shelf, while the highest heterotrophic contribution to the total nanoplankton biomass (up to 25%) was encountered at the shelf break where phytoplankton was largely dominated by 2- to 3-mu m-size cells.</t>
  </si>
  <si>
    <t>Univ Messina, Dipartimento Biol Anim &amp; Ecol Marina, I-98166 Messina, Italy</t>
  </si>
  <si>
    <t>University of Messina</t>
  </si>
  <si>
    <t>Vanucci, S (corresponding author), Univ Messina, Dipartimento Biol Anim &amp; Ecol Marina, Contrada Sperone 31, I-98166 Messina, Italy.</t>
  </si>
  <si>
    <t>10.1007/s003000050424</t>
  </si>
  <si>
    <t>WOS:000083378800003</t>
  </si>
  <si>
    <t>Bhaud, M; Koubbi, P; Razouls, S; Tachon, O; Accornero, A</t>
  </si>
  <si>
    <t>Description of planktonic polychaete larvae from Terre Adelie and the Ross Sea (Antarctica)</t>
  </si>
  <si>
    <t>BENTHIC MARINE-INVERTEBRATES; MCMURDO SOUND; BELLINGSHAUSEN SEA; REPRODUCTION; SPIONIDAE; OCEAN; ICE</t>
  </si>
  <si>
    <t>An analysis was carried out on 51 samples from 32 stations, obtained during the I.C.O.T.A, cruise between 18 January 1996 and 7 February 1996 in the Pointe Geologie Archipelago, Terre Adelie, and on samples obtained by 2 sediment traps deployed in the Ross Sea, within the framework of the Italian C.L.I.M.A. Project. These samples showed the unexpected presence of numerous larvae of benthic marine invertebrates. In addition, larvae from the Ross Sea were examined. Seven phyla with complex life-cycles and at least 18 species of benthic polychaetes were represented. Morphological descriptions by scanning electron microscopy of the most frequent larvae and identification of larval types are provided. Descriptions from the literature of larvae collected in the Antarctic Peninsula were used for comparison. Morphological descriptions do not always lead to identification at the species level; however, these descriptions are indispensable for establishing the geographic distribution of larvae. It has been demonstrated that indirect identification methods relying on the premise that the benthic fauna is entirely known and that sampled larvae belong only to species already known through their benthic adult stage may lead to obvious absurdities. As an ecological consequence, Thorson's rule, according to which indirect development should not be represented and direct development should be dominant at high latitudes, is not supported by our data. A short comparison of the local reproductive pattern with a subantarctic area, the Kerguelen Archipelago, strongly suggests that the absence of planktonic development in this area cannot be explained by Thorson's rule. This rule has been invalidated in more austral zones: the prevalent reproductive pattern in the Kerguelen Archipelago is linked to the very marked advective strength of water flow.</t>
  </si>
  <si>
    <t>Univ Paris 06, Observ Oceanog Banyuls, UMR 7621, F-66661 Banyuls sur Mer, France; Univ Littoral, Stn Marine Wimereux, F-62930 Wimereux, France; IUN Ist Meteorol &amp; Oceanog, I-580133 Naples, Italy</t>
  </si>
  <si>
    <t>Sorbonne Universite; Centre National de la Recherche Scientifique (CNRS); CNRS - National Institute for Earth Sciences &amp; Astronomy (INSU); Universite du Littoral-Cote-d'Opale</t>
  </si>
  <si>
    <t>Bhaud, M (corresponding author), Univ Paris 06, Observ Oceanog Banyuls, UMR 7621, BP 44, F-66661 Banyuls sur Mer, France.</t>
  </si>
  <si>
    <t>Koubbi, Philippe/D-5873-2015</t>
  </si>
  <si>
    <t>10.1007/s003000050426</t>
  </si>
  <si>
    <t>WOS:000083378800005</t>
  </si>
  <si>
    <t>Chiba, S; Ishimaru, T; Hosie, GW; Wright, SW</t>
  </si>
  <si>
    <t>Population structure change of Salpa thompsoni from austral mid-summer to autumn</t>
  </si>
  <si>
    <t>GROWTH-RATE; THALIACEA; TUNICATA; KRILL; CARBON; OCEAN; SEA</t>
  </si>
  <si>
    <t>Changes in the population structure of Salpa thompsoni from austral mid-summer to autumn off the Adelie Coast, Antarctica, were examined using cluster analysis based on reproductive states. S. thompsoni was the dominant macrozooplankton species through the research periods although the abundance decreased markedly in autumn. In both summer and autumn we identified three geographically coherent subpopulations, which were considered to be either a mating swarm or physical aggregation. Many aggregate forms with an empty (dead) embryo were observed, and the ratio of newborn solitary forms decreased in autumn, indicating sexual reproduction of the salps was deactivated. The significant reduction in size of mature solitaries suggested that the capacity of asexual reproduction was also reduced in autumn. In addition to water temperature decline, the phytoplankton shortage (which was partly caused by high grazing pressure of S. thompsoni during summer) might be the factor causing decline in their own population size in autumn.</t>
  </si>
  <si>
    <t>Tokyo Univ Fisheries, Minatoku 1088477, Japan; Australian Antarctic Div, Kingston, Tas 7050, Australia</t>
  </si>
  <si>
    <t>Tokyo University of Marine Science &amp; Technology; Australian Antarctic Division</t>
  </si>
  <si>
    <t>Chiba, S (corresponding author), Tokyo Univ Fisheries, 4-5-7 Konan, Minatoku 1088477, Japan.</t>
  </si>
  <si>
    <t>10.1007/s003000050427</t>
  </si>
  <si>
    <t>WOS:000083378800006</t>
  </si>
  <si>
    <t>Bustos, RO; Romo, CR; Healy, MG</t>
  </si>
  <si>
    <t>Purification of trypsin-like enzymes from Antarctic krill processing wastewater</t>
  </si>
  <si>
    <t>PROCESS BIOCHEMISTRY</t>
  </si>
  <si>
    <t>Antarctic krill; Euphausia superba; mechanical peeling; drip; proteolytic enzymes; affinity chromatography</t>
  </si>
  <si>
    <t>EUPHAUSIA-SUPERBA; PEPTIDE-HYDROLASES; DEBRIDEMENT; PROTEINASES</t>
  </si>
  <si>
    <t>The presence of trypsin-like enzymes was evaluated in different waste fractions produced during mechanical peeling of Antarctic krill (Euphausia superba) using N-alpha-benzoylarginine p-nitroanilide as substrate. The enzymes were highly concentrated in the exudate (drip) obtained after thawing 25 kg of frozen krill blocks. They presented an unusually high stability in this material, retaining over 40% of the initial activity after 60 days of storage at 45 degrees C. From this wastewater, trypsin-like enzymes were purified 140-fold in one step by affinity chromatography on p-aminobenzamidine Sepharose 4B. The purified enzymes migrated as a broad band in polyacrylamide gel electrophoresis and presented a molecular weight between 32 000 and 33 000. The use of krill processing wastewater as a source for commercial production of trypsin-like enzymes is discussed. (C) 1999 Elsevier Science Ltd. All rights reserved.</t>
  </si>
  <si>
    <t>Univ Santiago Chile, Ctr Estud Ciencia &amp; Tecnol Alimenots, Santiago, Chile; Queens Univ Belfast, Dept Chem Engn, Belfast BT9 5AG, Antrim, North Ireland</t>
  </si>
  <si>
    <t>Universidad de Santiago de Chile; Queens University Belfast</t>
  </si>
  <si>
    <t>Bustos, RO (corresponding author), Univ Santiago Chile, Ctr Estud Ciencia &amp; Tecnol Alimenots, Av LB OHiggins 3363,Casilla 33074,Correo 33, Santiago, Chile.</t>
  </si>
  <si>
    <t>rbustos@lauca.usach.cl</t>
  </si>
  <si>
    <t>Bustos, Ruben/AAM-2029-2020; Healy, Mark G/C-1400-2009</t>
  </si>
  <si>
    <t>Bustos, Ruben/0000-0003-0183-0324</t>
  </si>
  <si>
    <t>ELSEVIER SCI LTD</t>
  </si>
  <si>
    <t>THE BOULEVARD, LANGFORD LANE, KIDLINGTON, OXFORD OX5 1GB, OXON, ENGLAND</t>
  </si>
  <si>
    <t>1359-5113</t>
  </si>
  <si>
    <t>PROCESS BIOCHEM</t>
  </si>
  <si>
    <t>Process Biochem.</t>
  </si>
  <si>
    <t>10.1016/S0032-9592(99)00075-8</t>
  </si>
  <si>
    <t>Biochemistry &amp; Molecular Biology; Biotechnology &amp; Applied Microbiology; Engineering, Chemical</t>
  </si>
  <si>
    <t>Biochemistry &amp; Molecular Biology; Biotechnology &amp; Applied Microbiology; Engineering</t>
  </si>
  <si>
    <t>255DA</t>
  </si>
  <si>
    <t>WOS:000083653200014</t>
  </si>
  <si>
    <t>Harland, R; FitzPatrick, MEJ; Pudsey, CJ</t>
  </si>
  <si>
    <t>Latest Quaternary dinoflagellate cyst climatostratigraphy for three cores from the Falkland Trough, Scotia and Weddell seas, Southern Ocean</t>
  </si>
  <si>
    <t>REVIEW OF PALAEOBOTANY AND PALYNOLOGY</t>
  </si>
  <si>
    <t>dinoflagellate cysts; late quaternary; climatostratigraphy; Antarctica; Southern Ocean; palaeoceanography</t>
  </si>
  <si>
    <t>ANTARCTIC CIRCUMPOLAR CURRENT; NORTHEASTERN ATLANTIC-OCEAN; LAST-GLACIAL-MAXIMUM; PALYNOMORPH DISTRIBUTION; DIATOM DISTRIBUTION; SURFACE SEDIMENTS; MARINE-SEDIMENTS; AUSTRALIA; RECONSTRUCTION; STRATIGRAPHY</t>
  </si>
  <si>
    <t>Dinoflagellate cyst analysis has been undertaken on three Kasten cares taken from the Falkland Trough, Scotia Sea and Weddell Sea in the area of the Antarctic Peninsula. Two of these cores ape situated to the north of the maximum sea-ice limit and one, from the Weddell Sea, is sited within the maximum sea-ice limit. The recovered dinoflagellate cyst assemblages underscore the importance of the maximum sea-ice limit as a basic biogeographic boundary for dinoflagellate cyst distributions. Our results also demonstrate that in general the palaeoceanography of the Holocene and Late Pleistocene has remained reasonably constant and reflects present conditions to a large extent. The relatively constant environments, as evidenced within these latest Quaternary sequences, is in marked contrast to the situation within the North Atlantic Ocean where, during the same time span, marked climatic and oceanographic change has been documented from marine, terrestrial and ice-core records. The stability of the Southern Ocean circulation undoubtedly has important consequences on the maintenance of the global thermohaline circulation system over the period since the last deglaciation until the present time. (C) 1999 Elsevier Science B.V. All rights reserved.</t>
  </si>
  <si>
    <t>DinoData Serv, Nottingham NG13 8AH, England; Univ Sheffield, Ctr Palynol, Dept Earth Sci, Sheffield S3 7HF, S Yorkshire, England; Univ Plymouth, Dept Geol Sci, Plymouth PL4 8AA, Devon, England; British Antarctic Survey, Cambridge CB3 0ET, England</t>
  </si>
  <si>
    <t>University of Sheffield; University of Plymouth; UK Research &amp; Innovation (UKRI); Natural Environment Research Council (NERC); NERC British Antarctic Survey</t>
  </si>
  <si>
    <t>Harland, R (corresponding author), DinoData Serv, 50 Long Acre, Nottingham NG13 8AH, England.</t>
  </si>
  <si>
    <t>rexharland@msn.com</t>
  </si>
  <si>
    <t>0034-6667</t>
  </si>
  <si>
    <t>REV PALAEOBOT PALYNO</t>
  </si>
  <si>
    <t>Rev. Palaeobot. Palynology</t>
  </si>
  <si>
    <t>10.1016/S0034-6667(99)00023-8</t>
  </si>
  <si>
    <t>Plant Sciences; Paleontology</t>
  </si>
  <si>
    <t>262PN</t>
  </si>
  <si>
    <t>WOS:000084075800008</t>
  </si>
  <si>
    <t>Edwards, HGM; Farwell, DW; Wynn-Williams, DD</t>
  </si>
  <si>
    <t>FT-Raman spectroscopy of avian mummified tissue of archaeological relevance</t>
  </si>
  <si>
    <t>SPECTROCHIMICA ACTA PART A-MOLECULAR AND BIOMOLECULAR SPECTROSCOPY</t>
  </si>
  <si>
    <t>Raman spectroscopy; mummified tissue; keratin; penguin; Antarctic</t>
  </si>
  <si>
    <t>SPECTRA; SKIN; SPECIMENS; PROTEINS; IVORY; HAIR; NAIL</t>
  </si>
  <si>
    <t>There are frequent reports of mummified seals in the cold deserts of Antarctica. However, a mummified penguin found over 100 miles from the coast and at an altitude of 600 m is most unusual. The non-intrusive FT laser Raman spectra of untreated mummified tissues from this bird are presented; the specimen has three distinct types of tissue dearly identifiable in a limb, namely the bone, claw and skin, along with feathers from the carcass. The unusually fine preservation of these materials in an Antarctic cold desert climate means that bacterial degradation has been arrested and affords an opportunity to compare the molecular deterioration of the keratotic or collagenic components of the avian ice;mummified tissue with those from the skin of human ice-mummies. (C) 1999 Elsevier Science B.V. All rights reserved.</t>
  </si>
  <si>
    <t>Univ Bradford, Bradford BD7 1DP, W Yorkshire, England; British Antarctic Survey, Cambridge CB3 0ET, England</t>
  </si>
  <si>
    <t>University of Bradford; UK Research &amp; Innovation (UKRI); Natural Environment Research Council (NERC); NERC British Antarctic Survey</t>
  </si>
  <si>
    <t>Edwards, HGM (corresponding author), Univ Bradford, Bradford BD7 1DP, W Yorkshire, England.</t>
  </si>
  <si>
    <t>1386-1425</t>
  </si>
  <si>
    <t>SPECTROCHIM ACTA A</t>
  </si>
  <si>
    <t>Spectroc. Acta Pt. A-Molec. Biomolec. Spectr.</t>
  </si>
  <si>
    <t>10.1016/S1386-1425(99)00099-2</t>
  </si>
  <si>
    <t>Spectroscopy</t>
  </si>
  <si>
    <t>257RT</t>
  </si>
  <si>
    <t>WOS:000083796100013</t>
  </si>
  <si>
    <t>Alexander, C</t>
  </si>
  <si>
    <t>The race to the bottom (Roland Huntford's book on exploration in the Antarctic, The 'Last Place on Earth')</t>
  </si>
  <si>
    <t>NEW YORK TIMES BOOK REVIEW</t>
  </si>
  <si>
    <t>NEW YORK TIMES</t>
  </si>
  <si>
    <t>229 W 43RD ST, NEW YORK, NY 10036-3959 USA</t>
  </si>
  <si>
    <t>0028-7806</t>
  </si>
  <si>
    <t>NY TIMES BK REV</t>
  </si>
  <si>
    <t>N. Y. Times Book Rev.</t>
  </si>
  <si>
    <t>OCT 31</t>
  </si>
  <si>
    <t>Humanities, Multidisciplinary</t>
  </si>
  <si>
    <t>Arts &amp; Humanities - Other Topics</t>
  </si>
  <si>
    <t>248CL</t>
  </si>
  <si>
    <t>WOS:000083257700037</t>
  </si>
  <si>
    <t>Chu, L; Chu, LT</t>
  </si>
  <si>
    <t>Heterogeneous interaction and reaction of HOBr on ice films</t>
  </si>
  <si>
    <t>REAL-TIME KINETICS; OZONE DEPLETION; WATER ICE; CHLORINE NITRATE; ANTARCTIC OZONE; SURFACES; HCL; HBR; ACID; STRATOSPHERE</t>
  </si>
  <si>
    <t>The uptake coefficient gamma of HOBr on the ice surface from 190 to 239 K has been investigated in a flow reactor interfaced with a differentially pumped quadrupole mass spectrometer, gamma of HOBr on ice is in the range 0.11-7 x 10(-3) at 190-218 K and is in the range 2 x 10(-3) to 6 x 10(-4) at 323-239 K. The desorption temperature Td Of HOBr on the ice film was determined. Td increases with the HOBr exposure. The Monte Carlo simulation was used to shed light on the nature of the desorption and gas-surface interactions. This study extends our investigations to the reaction probability of the HOBr + HCI reaction. The reaction probability ranges from 0.05 to 0.23 at 190 K and 0.004 to 0.19 at 222 K as a function of P-HCl which varies from 1.3 x 10(-7) to 8.8 x 10(-6) Torr and 4.2 x 10(-7) to 1.5 x 10(-5) Toll, respectively, Kinetic analysis indicates that the heterogeneous reaction of HOBr + HCI follows the Langmuir-Hinshelwood type.</t>
  </si>
  <si>
    <t>SUNY Albany, Dept Environm Hlth &amp; Toxicol, Albany, NY 12201 USA; SUNY Albany, Wadsworth Ctr, Albany, NY 12201 USA</t>
  </si>
  <si>
    <t>State University of New York (SUNY) System; State University of New York (SUNY) Albany; Wadsworth Center; State University of New York (SUNY) System; State University of New York (SUNY) Albany</t>
  </si>
  <si>
    <t>Chu, LT (corresponding author), SUNY Albany, Dept Environm Hlth &amp; Toxicol, POB 509, Albany, NY 12201 USA.</t>
  </si>
  <si>
    <t>OCT 28</t>
  </si>
  <si>
    <t>10.1021/jp991136q</t>
  </si>
  <si>
    <t>253CB</t>
  </si>
  <si>
    <t>WOS:000083538100010</t>
  </si>
  <si>
    <t>Ducklow, H; Carlson, C; Smith, W</t>
  </si>
  <si>
    <t>Bacterial growth in experimental plankton assemblages and seawater cultures from the Phaeocystis antarctica bloom in the Ross Sea, Antarctica</t>
  </si>
  <si>
    <t>bacterioplankton; microbial foodweb; carbon cycle; Antarctica; Phaeocystis</t>
  </si>
  <si>
    <t>ORGANIC-CARBON; SOUTHERN-OCEAN; PHYTOPLANKTON BLOOMS; PROTEIN-SYNTHESIS; SARGASSO-SEA; BACTERIOPLANKTON; DYNAMICS; BIOMASS; POLYNYA; PACIFIC</t>
  </si>
  <si>
    <t>A series of seawater culture experiments was carried out during the Phaeocystis antarctica bloom in the Ross Sea polynya (76.5 degrees S, 180 degrees W; November to December 1994 and December 1995 to January 1996) to examine bacterioplankton growth and derive empirical factors for estimating bacterial production rates. Bacterial growth was exponential over 3 to 10 d in all experiments, at rates of ca 0.1 to 0.7 d(-1), even in persistently cold waters (-2 to + 1 degrees C). Growth rates were lower in the early part of the bloom (early to mid-November) and highest during the period of peak primary productivity (2 to 4 g C m(-2) d(-1) in late November through December). Apparent lag phases in the growth curves lasting 1 to 7 d could be accounted for mathematically by subpopulations in the bacterial assemblages growing exponentially at different rates, with no need to invoke inactive, nondividing or nonviable populations. Lags were absent during the period of peak primary production, suggesting adaptation of the bacteria to ambient DOM. Growth was not stimulated by small temperature increases (Delta+2 to 4 degrees C), and was not balanced by removal processes in untreated 'whole' water samples. Growth rates were broadly similar to other directly observed bacterial growth rates in the Antarctic and did not appear to differ from rates in warmer waters. Conversion factors for thymidine and leucine averaged 8 and 0.8 x 10(17) cells mol(-1), respectively, not dissimilar to estimates from temperate waters. These findings suggest that bacteria were growing actively in 0 to -2 degrees C waters under rich bloom conditions, and lend strong sup port to the hypothesis that bacterioplankton metabolism controls DOC accumulation in Antarctic waters, at least at the low rates of DOM supply we infer from field and experimental observations. Bacterioplankton responded within 10 to 20 d to the evolving P. antarctica bloom and did not appear to behave substantially differently from lower latitude bloom systems.</t>
  </si>
  <si>
    <t>Coll William &amp; Mary, Virginia Inst Marine Sci, Gloucester Point, VA 23062 USA; Bermuda Biol Stn Res, Ferry Reach GE01, St Georges, Bermuda</t>
  </si>
  <si>
    <t>William &amp; Mary; Virginia Institute of Marine Science</t>
  </si>
  <si>
    <t>Ducklow, H (corresponding author), Coll William &amp; Mary, Virginia Inst Marine Sci, POB 1346, Gloucester Point, VA 23062 USA.</t>
  </si>
  <si>
    <t>OCT 27</t>
  </si>
  <si>
    <t>10.3354/ame019215</t>
  </si>
  <si>
    <t>257CT</t>
  </si>
  <si>
    <t>Bronze, Green Submitted</t>
  </si>
  <si>
    <t>WOS:000083765200002</t>
  </si>
  <si>
    <t>Fromm, MD; Bevilacqua, RM; Hornstein, J; Shettle, E; Hoppel, K; Lumpe, JD</t>
  </si>
  <si>
    <t>An analysis of Polar Ozone and Aerosol Measurement (POAM) II Arctic polar stratospheric cloud observations, 1993-1996</t>
  </si>
  <si>
    <t>VORTEX CONDITIONS; WINTER; DEPLETION; HNO3; MLS; TEMPERATURES; JANUARY; NORWAY; EASOE</t>
  </si>
  <si>
    <t>The Polar Ozone and Aerosol Measurement (POAM) II instrument made numerous observations of polar stratospheric clouds (PSCs) in the northern hemisphere winters of 1993/1994 through 1995/1996. An updated POAM II PSC detection algorithm, described herein, is applied to POAM II 1060 nm aerosol extinction profiles to distinguish PSCs from noncloud measurements. The impact of the updated algorithm on previously published Antarctic PSC statistics is discussed. Operating sporadically in the 1993/1994 PSC season (defined as November through April), but continuously in the following two winters, POAM II made approximately 340 PSC profile measurements. We analyze the POAM II PSC observations with respect to polar vortex location, temperature, longitude, time, and altitude. Daily PSC probability (defined as the number of PSC profiles inside the polar vortex relative to the number of all profiles located inside the vortex) exceeds 60% during the most intense PSC episodes. There is considerable year-to-year variability in PSC probability, preferred location, and timing of onset and final appearance. The POAM II data also reveal interannual differences in the seasonal change of PSC altitude. Certain observations of opaque clouds are used to infer Type II PSCs. The pattern of observed PSCs is discussed with respect to recent studies of Arctic ozone loss.</t>
  </si>
  <si>
    <t>Computat Phys Inc, Fairfax, VA 22031 USA; USN, Res Lab, Washington, DC 20375 USA</t>
  </si>
  <si>
    <t>United States Department of Defense; United States Navy; Naval Research Laboratory</t>
  </si>
  <si>
    <t>Fromm, MD (corresponding author), Computat Phys Inc, 2750 Prosper Ave,Suite 600, Fairfax, VA 22031 USA.</t>
  </si>
  <si>
    <t>fromm@poama.nrl.navy.mil</t>
  </si>
  <si>
    <t>Fromm, Michael/F-4639-2010</t>
  </si>
  <si>
    <t>D20</t>
  </si>
  <si>
    <t>10.1029/1999JD900273</t>
  </si>
  <si>
    <t>249KN</t>
  </si>
  <si>
    <t>WOS:000083332400009</t>
  </si>
  <si>
    <t>Scott, ERD; Krot, AN; Yamaguchi, A</t>
  </si>
  <si>
    <t>Comment on Petrologic evidence for low-temperature, possibly flood-evaporitic origin of carbonates in the ALH84001 meteorite</t>
  </si>
  <si>
    <t>JOURNAL OF GEOPHYSICAL RESEARCH-PLANETS</t>
  </si>
  <si>
    <t>ORDINARY CHONDRITES; SHOCK METAMORPHISM; ALLAN-HILLS-84001; MASKELYNITE; HISTORY; MODEL; MARS</t>
  </si>
  <si>
    <t>Univ Hawaii Manoa, Sch Ocean &amp; Earth Sci &amp; Technol, Hawaii Inst Geophys &amp; Planetol, Honolulu, HI 96822 USA; Natl Inst Polar Res, Antarctic Meteorite Res Ctr, Tokyo 173, Japan</t>
  </si>
  <si>
    <t>University of Hawaii System; University of Hawaii Manoa; Research Organization of Information &amp; Systems (ROIS); National Institute of Polar Research (NIPR) - Japan</t>
  </si>
  <si>
    <t>Univ Hawaii Manoa, Sch Ocean &amp; Earth Sci &amp; Technol, Hawaii Inst Geophys &amp; Planetol, Honolulu, HI 96822 USA.</t>
  </si>
  <si>
    <t>escott@pgd.hawaii.edu</t>
  </si>
  <si>
    <t>2169-9097</t>
  </si>
  <si>
    <t>2169-9100</t>
  </si>
  <si>
    <t>J GEOPHYS RES-PLANET</t>
  </si>
  <si>
    <t>J. Geophys. Res.-Planets</t>
  </si>
  <si>
    <t>OCT 25</t>
  </si>
  <si>
    <t>E10</t>
  </si>
  <si>
    <t>10.1029/1998JE001005</t>
  </si>
  <si>
    <t>248AL</t>
  </si>
  <si>
    <t>WOS:000083253100011</t>
  </si>
  <si>
    <t>Francey, RJ; Manning, MR; Allison, CE; Coram, SA; Etheridge, DM; Langenfelds, RL; Lowe, DC; Steele, LP</t>
  </si>
  <si>
    <t>A history of δ13C in atmospheric CH4 from the Cape Grim air archive and antarctic firn air</t>
  </si>
  <si>
    <t>GROWTH-RATE; ISOTOPIC COMPOSITION; SOUTHERN-HEMISPHERE; METHANE SOURCES; NEW-ZEALAND; CARBON; OH; TRENDS; CO; METHYLCHLOROFORM</t>
  </si>
  <si>
    <t>Marine (baseline) air from Cape Grim (41 degrees S), collected and archived in high-pressure metal containers, provides a history of delta(13)C in atmospheric methane from 1978. A similar history is obtained from air pumped from different layers of the firn at Law Dome, Antarctica, after correction for diffusion and gravitational settling effects in the firn. The archive records are linked to measurements since 1992 using 5-L glass flasks filled at Cape Grim, and compared to data since 1989 from a comparable site at Baring Head, New Zealand. Over 18 years the delta(13)C of atmospheric methane in the extratropical Southern Hemisphere has increased by similar to 0.6 parts per thousand while the methane mixing ratio increased by similar to 200 ppb. The delta(13)C growth rate decreases over the 18-year period, but by relatively less than the simultaneous decrease in mixing ratio growth rate. The overall increase in delta(13)C is significantly smaller than, and the recent slowing is in conflict with, previous estimates [Stevens and Engelkemeir, 1989]. The long-term trend in delta(13)C, and the different shape to the trend in mixing ratio, are shown to be consistent with constant global methane sources and sinks since 1982. The slower equilibration of observed delta(13)C, compared to that of the mixing ratio, is an example of an effect pointed out recently by Tans [1997], The data presented here constrain changes in the relative mix of isotopically heavy and light sources to be small and suggest that there was little change in the ratio of anthropogenic to natural sources in the 1978 to 1995 period.</t>
  </si>
  <si>
    <t>CSIRO, Aspendale, Vic 3195, Australia; Monash Univ, Cooperat Res Ctr So Hemisphere Meteorol, Clayton, Vic 3168, Australia; Natl Inst Water &amp; Atmospher Res Ltd, Wellington, New Zealand</t>
  </si>
  <si>
    <t>Commonwealth Scientific &amp; Industrial Research Organisation (CSIRO); Monash University; National Institute of Water &amp; Atmospheric Research (NIWA) - New Zealand</t>
  </si>
  <si>
    <t>CSIRO, 107-121 Stn St, Aspendale, Vic 3195, Australia.</t>
  </si>
  <si>
    <t>roger.francey@dar.csiro.au</t>
  </si>
  <si>
    <t>Steele, Paul/B-3185-2009; Langenfelds, Raymond L/B-5381-2012; Francey, Roger J/A-2345-2012; Etheridge, David M/B-7334-2013</t>
  </si>
  <si>
    <t>Etheridge, David/0000-0001-7970-2002</t>
  </si>
  <si>
    <t>OCT 20</t>
  </si>
  <si>
    <t>D19</t>
  </si>
  <si>
    <t>10.1029/1999JD900357</t>
  </si>
  <si>
    <t>246WT</t>
  </si>
  <si>
    <t>WOS:000083188400003</t>
  </si>
  <si>
    <t>Fickert, S; Adams, JW; Crowley, JN</t>
  </si>
  <si>
    <t>Activation of Br2 and BrCl via uptake of HOBr onto aqueous salt solutions</t>
  </si>
  <si>
    <t>TROPOSPHERIC OZONE DEPLETION; SUNRISE EXPERIMENT 1992; MARINE BOUNDARY-LAYER; POLAR SUNRISE; SURFACE OZONE; ANTARCTIC OZONE; SULFURIC-ACID; ICE SURFACES; BROMINE; CHLORINE</t>
  </si>
  <si>
    <t>The reactive uptake of HOBr onto aqueous solutions containing Cl- and Br- has been studied using a wetted-wall flow tube reactor. The uptake was found to be limited by gas phase transport, enabling the measurement of the diffusion coefficient of HOBr in He (319 +/- 48 torr cm(2) s(-1)) and N-2 (84 +/- 7 torr cm(2) s(-1)) at 274 K (errors are 2 sigma). The same experiments allowed a lower limit to the accommodation coefficient of alpha &gt; 1x10(-2) to be calculated. Both Br-2 and BrCl products were observed in the gas phase, the relative yield of which was dependent on the ratio of Cl- to Br- in the aqueous phase. At [Cl-] = 1M, and [Br-] = 10(-3) M, &gt; 90% of HOBr taken up by the film was released into the gas phase as Br-2. At low Br concentrations, BrCl was the dominant product. The role of pH in the efficiency of bromine release from the aqueous phase was examined by carrying out HOBr-uptake experiments with 1 M Cl-, 10(-3) M Br-, and pH between 4 and 10. At a pH of less than 6.5 at least 90% of the HOBr taken up onto the aqueous Cl-/Br- solution was released into the gas phase as Br,. Bromine was not released following HOBr uptake onto non-acidified solution. These experiments confirm the efficient activation of bromine predicted by recent models of halogen chemistry in the marine boundary layer.</t>
  </si>
  <si>
    <t>Max Planck Inst Chem, Div Atmospher Chem, D-55020 Mainz, Germany</t>
  </si>
  <si>
    <t>Max Planck Society</t>
  </si>
  <si>
    <t>Fickert, S (corresponding author), Max Planck Inst Chem, Div Atmospher Chem, Postfach 3060, D-55020 Mainz, Germany.</t>
  </si>
  <si>
    <t>Crowley@mpch-mainz.mpg.de</t>
  </si>
  <si>
    <t>10.1029/1999JD900359</t>
  </si>
  <si>
    <t>WOS:000083188400010</t>
  </si>
  <si>
    <t>Li, YF</t>
  </si>
  <si>
    <t>Global gridded technical hexachlorocyclohexane usage inventories using a global cropland as a surrogate</t>
  </si>
  <si>
    <t>USE TRENDS; RESOLUTION; EMISSIONS; TRANSPORT; NOX; ENVIRONMENT; IMPACT; ASIA; SO2; AIR</t>
  </si>
  <si>
    <t>A global cropland data set with 1 degrees x1 degrees longitude and latitude resolution has been created by using an advanced very high resolution radiometer global land database with 1 km x 1 km resolution. By using this global gridded cropland data set as a surrogate, global technical HCH usage data for the years of 1950, 1940, 1970, 1980, and 1990 are distributed to a grid system with 1 degrees x1 degrees longitude and latitude resolution. Usage data for these years versus latitude and longitude and for different continents are analyzed. A centroid analysis of the use trends of technical hexachlorocyclohexane (HCH) for these years versus latitude and longitude leads to the conclusion that the use of this insecticide was undergoing a northward tilt before 1960, a southward tilt after 1960, n eastward tilt between 1950 and 1980, and a westward tilt between 1980 and 1990. Air concentrations of alpha-HCH, the major isomer of technical HCH, in the Arctic and Antarctic are also compared to the usage of technical HCH in the Northern and Southern Hemispheres, respectively. While the ratio between the total technical HCH usage in the Northern Hemisphere and that in the Southern Hemisphere is around 17 in 1980, 8 in 1987, and 9 in 1990, the ratio of air concentrations of alpha-HCH in the Arctic to that in the Antarctic is around 14 between 1980 and 1981, 9 in 1987, and 11 between 1989 and 1990. This suggests that atmospheric concentrations of alpha-HCH in the Arctic and the Antarctic have been responding to the technical HCH use in the Northern and the Southern Hemispheres, respectively. This also provides evidence that the quality of the global gridded technical HCH usage presented in this study is reasonably high.</t>
  </si>
  <si>
    <t>Environm Canada, Atomospher Environm Serv, Modelling &amp; Integrat Res Div, Downsview, ON M3H 5T4, Canada</t>
  </si>
  <si>
    <t>Environment &amp; Climate Change Canada</t>
  </si>
  <si>
    <t>Environm Canada, Atomospher Environm Serv, Modelling &amp; Integrat Res Div, 4905 Dufferin St, Downsview, ON M3H 5T4, Canada.</t>
  </si>
  <si>
    <t>yi-fan.li@ec.gc.ca</t>
  </si>
  <si>
    <t>Li, Yifan/JCE-0660-2023; Li, Yifan/HGA-6843-2022; LI, YI-FAN/U-7024-2019</t>
  </si>
  <si>
    <t>Li, Yifan/0000-0002-3249-1778; Li, Yifan/0000-0002-3249-1778;</t>
  </si>
  <si>
    <t>10.1029/1999JD900448</t>
  </si>
  <si>
    <t>WOS:000083188400014</t>
  </si>
  <si>
    <t>Wong, S; Prather, MJ; Rind, DH</t>
  </si>
  <si>
    <t>Seasonal and interannual variability of the budgets of N3O and CCI3F</t>
  </si>
  <si>
    <t>MIDDLE ATMOSPHERE MODEL; ANTARCTIC OZONE HOLE; 3-DIMENSIONAL SIMULATIONS; TRACE CONSTITUENTS; STRATOSPHERIC N2O; DOWNWARD CONTROL; PLANETARY-WAVES; CLIMATE CHANGE; ANNUAL CYCLE; TRANSPORT</t>
  </si>
  <si>
    <t>The 6-year wind archives from the Goddard Institute for Space Studies/Global Climate-Middle Atmosphere Model (GISS/GCMAM) were input to the GISS/Harvard/Irvine Chemical Transport Model (G/H/I CTM) to study the seasonal and interannual variability of the budgets and distributions of nitrous oxide (N2O) and trichlorofluoromethane (CCl3F), with the corresponding chemical loss frequencies recycled and boundary conditions kept unchanged from year to year. The effects of ozone feedback and quasibiennial oscillation (QBO) were not included. However, the role of circulation variation in driving the lifetime variability is investigated. It was found that the global loss rates of these tracers are related to the extratropical planetary wave activity, which drives the tropical upward mass flux. For N2O a semiannual signal in the loss rate variation is associated with the interhemispheric asymmetry in the upper stratospheric wave activity. For CCl3F the semiannual signal is weaker, associated with the comparatively uniform wave episodes in the lower stratosphere. The loss rates lag behind the wave activity by about 1-2 months. The interannual variation of the general circulation model generated winds drives the interannual variation of the annually averaged lifetime. The year-to-year variations of the annually averaged lifetimes can be about 3% for N2O and 4% for CCl3F.</t>
  </si>
  <si>
    <t>NASA, Goddard Space Flight Ctr, Inst Space Studies, New York, NY 10025 USA; Univ Calif Irvine, Dept Earth Syst Sci, Irvine, CA 92717 USA; Columbia Univ, Dept Phys, New York, NY 10027 USA</t>
  </si>
  <si>
    <t>National Aeronautics &amp; Space Administration (NASA); NASA Goddard Space Flight Center; University of California System; University of California Irvine; Columbia University</t>
  </si>
  <si>
    <t>Wong, S (corresponding author), SUNY Albany, Atmospher Sci Res Ctr, 251 Fuller Rd, Albany, NY 12203 USA.</t>
  </si>
  <si>
    <t>wong@climate.cestm.albany.edu; prather@halo.ps.uci.edu; drind@giss.nasa.gov</t>
  </si>
  <si>
    <t>Wong, Sun/AAG-8757-2020</t>
  </si>
  <si>
    <t>10.1029/1999JD900776</t>
  </si>
  <si>
    <t>Green Published, Green Submitted, Bronze</t>
  </si>
  <si>
    <t>WOS:000083188400021</t>
  </si>
  <si>
    <t>Stefanutti, L; MacKenzie, AR; Balestri, S; Khattatov, V; Fiocco, G; Kyrö, E; Peter, T</t>
  </si>
  <si>
    <t>Airborne polar experiment-polar ozone, leewaves, chemistry, and transport (APE-POLECAT):: Rationale, road map and summary of measurements</t>
  </si>
  <si>
    <t>STRATOSPHERIC CLOUD FORMATION; INDUCED ICE PARTICLES; ANTARCTIC OZONE; ARCTIC STRATOSPHERE; JANUARY 24; DEPLETION; VORTEX; WINTER; AIRCRAFT; AEROSOLS</t>
  </si>
  <si>
    <t>The Airborne Polar Experiment-Polar Ozone, Leewaves, Chemistry and Transport (APEPOLECAT) mission took place between December 19, 1996, and January 16, 1997. APE POLECAT comprised the inaugural mission of the high-altitude research aircraft, the M-55 Geophysica, flights by the DLR Falcon, measurements from a number of Arctic ground stations, and atmospheric modeling. Both aircraft flew out of Rovaniemi in Finland. The Geophysica was equipped with a payload designed to probe the chemistry and microphysics of polar stratospheric clouds (PSCs) at, or above, the aircraft altitude (up to 20 km geometric altitude). The Deutsches Zentrum fur Luft und Raumfahrt (DLR) Falcon was fitted with an aerosol lidar called OLEX, which looked upward. Ground-based measurements included aerosol lidar, meteorological sondes, and ozone sondes, from both sides of the Scandinavian Mountains, and from the southern Arctic Ocean. The original primary aim of the mission, to study PSC processes in situ, was modified in the light of unfavorable meteorological conditions. Flights concentrated on studies of transport and chemistry around the polar vortex, and on remote sensing of very high, mountain-wave-induced, PSCs. Here we report the objectives and rationale of the mission, provide basic descriptions of the conditions of the stratosphere at the time of each flight, and give a summary of the measurements made.</t>
  </si>
  <si>
    <t>CNR, IROE Nello Carrara, CNR, I-50127 Florence, Italy; Univ Cambridge, Chem Lab, Ctr Atmospher Sci, Cambridge CB2 1EW, England; Airborne Polar Expt Management Comm, F-50127 Florence, Italy; Cent Aerol Observ, Dolgoprudnyi 141700, Moscow Region, Russia; Univ Roma La Sapienza, Dipartimento Fis, I-00185 Rome, Italy; Finnish Meteorol Inst, FIN-99600 Sodankyla, Finland; Max Planck Inst Chem, D-55122 Mainz, Germany</t>
  </si>
  <si>
    <t>Consiglio Nazionale delle Ricerche (CNR); University of Cambridge; Sapienza University Rome; Finnish Meteorological Institute; Max Planck Society</t>
  </si>
  <si>
    <t>CNR, IROE Nello Carrara, CNR, Via Panciatichi 64, I-50127 Florence, Italy.</t>
  </si>
  <si>
    <t>lidar@iroefi.cnr.it; r.mackenzie@lancaster.ac.uk</t>
  </si>
  <si>
    <t>Peter, Thomas/B-2529-2018; MacKenzie, Angus Robert/ISS-0362-2023; MacKenzie, Angus Robert/B-1704-2009</t>
  </si>
  <si>
    <t>Peter, Thomas/0000-0002-7218-7156; MacKenzie, Angus Robert/0000-0002-8227-742X</t>
  </si>
  <si>
    <t>10.1029/1998JD100078</t>
  </si>
  <si>
    <t>WOS:000083188400024</t>
  </si>
  <si>
    <t>Féraud, G; Alric, V; Fornari, M; Bertrand, H; Haller, M</t>
  </si>
  <si>
    <t>40Ar/39Ar dating of the Jurassic volcanic province of Patagonia:: migrating magmatism related to Gondwana break-up and subduction</t>
  </si>
  <si>
    <t>EARTH AND PLANETARY SCIENCE LETTERS</t>
  </si>
  <si>
    <t>geochronology; Jurassic; magmatism; Patagonia; acidic magmas</t>
  </si>
  <si>
    <t>LARGE IGNEOUS PROVINCE; ANTARCTIC PENINSULA; SOUTHERNMOST ANDES; AR-40-AR-39 AGES; MARGIN; GEOCHRONOLOGY; PETROGENESIS; AMERICA; AFRICA; MIDDLE</t>
  </si>
  <si>
    <t>The Mesozoic large igneous province (LIP) of Patagonia (southern South America), which is one of the largest silicic provinces on Earth has been investigated by the 40Ar/39Ar method. Twenty-seven ages considered as valid, including twenty plateau ages, show that the volcanic activity, ranging from 187 to 144 Ma, occurred between and contemporaneously with the initial break-up of Gondwana (starting with the Karoo-Antarctic-Tasmanian (KAT) flood basalt province) in the east, and a subduction in the west. The data display a regular decreasing of ages from the ENE (187 Ma) to the WSW (144 Ma) along about 650 km, apparently related to the tectonic structure in half-grabens oriented NNW-SSE. The good fitting of this trend with the opening of the Rocas Verdes-Sarmiento marginal basin favors a space-time evolution of this continental volcanism culminating towards the SSW in a continental disruption behind the magmatic are. The observed age progression of volcanism may be the result of the variations of the physical characteristics of the subduction. The spreading and thermal effect of the KAT plume may have an additional effect and also could account for the unusually large volume of magma. (C) 1999 Elsevier Science B.V. All rights reserved.</t>
  </si>
  <si>
    <t>Univ Nice, CNRS IRD, UMR 6526, F-06108 Nice 02, France; Univ Nacl Patagonia San Juan Bosco, Puerto Madryn, Chubut, Argentina; Ecole Normale Super Lyon, Geol Lab, UMR 5570 CNRS, F-69364 Lyon 07, France; UCBL, F-69364 Lyon 07, France</t>
  </si>
  <si>
    <t>Universite Cote d'Azur; Institut de Recherche pour le Developpement (IRD); Universidad Nacional de la Patagonia San Juan Bosco; Ecole Normale Superieure de Lyon (ENS de LYON); Universite Claude Bernard Lyon 1</t>
  </si>
  <si>
    <t>Univ Nice, CNRS IRD, UMR 6526, Parc Valrose, F-06108 Nice 02, France.</t>
  </si>
  <si>
    <t>feraud@unice.fr</t>
  </si>
  <si>
    <t>Bertrand, Herve/E-5068-2011</t>
  </si>
  <si>
    <t>0012-821X</t>
  </si>
  <si>
    <t>1385-013X</t>
  </si>
  <si>
    <t>EARTH PLANET SC LETT</t>
  </si>
  <si>
    <t>Earth Planet. Sci. Lett.</t>
  </si>
  <si>
    <t>OCT 15</t>
  </si>
  <si>
    <t>1-2</t>
  </si>
  <si>
    <t>10.1016/S0012-821X(99)00190-9</t>
  </si>
  <si>
    <t>252XL</t>
  </si>
  <si>
    <t>WOS:000083527500007</t>
  </si>
  <si>
    <t>Van de Velde, K; Ferrari, C; Barbante, C; Moret, I; Bellomi, T; Hong, SM; Boutron, C</t>
  </si>
  <si>
    <t>A 200 year record of atmospheric cobalt, chromium, molybdenum, and antimony in high altitude alpine firn and ice</t>
  </si>
  <si>
    <t>ENVIRONMENTAL SCIENCE &amp; TECHNOLOGY</t>
  </si>
  <si>
    <t>CENTRAL GREENLAND SNOW; HEAVY-METAL ANALYSIS; TRACE-ELEMENTS; ANTARCTIC SNOW; LEAD POLLUTION; POLAR SNOW; DEPOSITION; HEMISPHERE; EMISSIONS; DOME</t>
  </si>
  <si>
    <t>High altitude cold snow and ice cores from midlatitude mountain ranges have been used very little to obtain historical records of environmental contamination by heavy metals. Co, Cr, Mo, and Sb have been measured by DF-ICP-MS-MCN (double focusing inductively coupled plasma mass spectrometry with microconcentric nebulizer) in various sections of a 140 m snow/ice core drilled at a high altitude location near the summit of Mont Blanc in the French-Italian Alps. The bottom of the core is older than 200 years. It gives the first snow and ice time series for these metals of high environmental interest for the post Industrial Revolution period. Measured concentrations range from 26 to 433 pg/g for Co, from 8 to 469 pg/g for Cr, from 0.2 to 50 pg/g for Mo, and from 0.2 to 109 pg/g for Sb. For all four metals, concentrations in recent snow are found to be, on the average, significantly higher than concentrations in ice dated from before the middle of the 19th century. Th ere are however differences in the timing and the amplitude of the observed increases from one metal to another. Mo shows the greatest increase (x16), followed by Sb (x5), and Co and Cr (x2-3). Contribution from natural sources is, on the average, limited except for Mo in ice dated from before the middle of the 19th century. For recent snow, contribution from oil and coal combustion is the dominating source for Co, Mo, and Sb. For Cr, on the other hand, the most important contribution is from iron, steel, and ferroalloy industries.</t>
  </si>
  <si>
    <t>CNRS, Lab Glaciol &amp; Geophys Environm, F-38402 St Martin Dheres, France; Univ Grenoble 1, Inst Sci &amp; Tech Grenoble, F-38041 Grenoble, France; Univ Venice, Dipartimento Sci Ambientali, I-30123 Venice, Italy; CNR, Ctr Studio Chim &amp; Tecnol Ambiente, I-30123 Venice, Italy; Univ Grenoble 1, Unite Format &amp; Rech Mecan &amp; Phys, Inst Univ France, F-38041 Grenoble, France</t>
  </si>
  <si>
    <t>Centre National de la Recherche Scientifique (CNRS); Communaute Universite Grenoble Alpes; Universite Grenoble Alpes (UGA); Universita Ca Foscari Venezia; Consiglio Nazionale delle Ricerche (CNR); Institut Universitaire de France; Communaute Universite Grenoble Alpes; Universite Grenoble Alpes (UGA)</t>
  </si>
  <si>
    <t>Boutron, C (corresponding author), CNRS, Lab Glaciol &amp; Geophys Environm, 54 Rue Moliere,BP 96, F-38402 St Martin Dheres, France.</t>
  </si>
  <si>
    <t>boutron@glaciog.ujf-grenoble.fr</t>
  </si>
  <si>
    <t>Barbante, Carlo/B-3195-2011</t>
  </si>
  <si>
    <t>Barbante, Carlo/0000-0003-4177-2288</t>
  </si>
  <si>
    <t>0013-936X</t>
  </si>
  <si>
    <t>ENVIRON SCI TECHNOL</t>
  </si>
  <si>
    <t>Environ. Sci. Technol.</t>
  </si>
  <si>
    <t>10.1021/es990066y</t>
  </si>
  <si>
    <t>Engineering, Environmental; Environmental Sciences</t>
  </si>
  <si>
    <t>Engineering; Environmental Sciences &amp; Ecology</t>
  </si>
  <si>
    <t>248CJ</t>
  </si>
  <si>
    <t>WOS:000083257500004</t>
  </si>
  <si>
    <t>Lythe, M; Hauser, A; Wendler, G</t>
  </si>
  <si>
    <t>Classification of sea ice types in the Ross Sea, Antarctica from SAR and AVHRR imagery</t>
  </si>
  <si>
    <t>INTERNATIONAL JOURNAL OF REMOTE SENSING</t>
  </si>
  <si>
    <t>SYNTHETIC-APERTURE-RADAR; TERRA-NOVA BAY; ERS-1 SAR; COASTAL POLYNYAS; SEGMENTATION</t>
  </si>
  <si>
    <t>ERS-2 synthetic aperture radar (SAR) and Advanced Very High Resolution Radiometer (AVHRR) imagery are used to examine spectral characteristics of late winter/early spring ice in the Ross Sea, Antarctica. The combined spectral signatures are used to distinguish six ice types: fast ice, new ice, smooth first year ice, rough first year ice, thin new ice/wind roughened open water and glacial ice. The procedure firstly involves 'picking' class boundaries from SAR imagery based on the morphology of a speckle reduced backscatter spectrum. These class boundaries are then used as input to an iterative segmentation procedure that involves the repeated application of a speckle reduction filter to the image. For an image from late September 1996 the segmentation procedure enabled separation of five general ice categories each with a characteristic backscatter range. However because of the combined contributions of ice thickness, surface roughness, salinity and water content to the SAR backscatter, further decision criteria are required to separate some physical ice types unable to be resolved individually using this method. Coincident and co-registered infrared data from the AVHRR sensor are used to extract spectral characteristics for the final ice classes. Using this procedure we were able to distinguish floating glacier ice from thin new ice/wind roughened open water and new ice from nearshore fast ice. These ice types were unable to be separated using SAR backscatter intensity alone. In addition image subtraction was also able to clearly delineate areas of shore fast ice.</t>
  </si>
  <si>
    <t>Int Ctr Antarctic Informat &amp; Res, Christchurch, New Zealand</t>
  </si>
  <si>
    <t>Int Ctr Antarctic Informat &amp; Res, Christchurch, New Zealand.</t>
  </si>
  <si>
    <t>matt.lythe@bas.ac.uk; adrian.hauser@npolar.no; gerd@gi.alaska.edu</t>
  </si>
  <si>
    <t>TAYLOR &amp; FRANCIS LTD</t>
  </si>
  <si>
    <t>ABINGDON</t>
  </si>
  <si>
    <t>2-4 PARK SQUARE, MILTON PARK, ABINGDON OR14 4RN, OXON, ENGLAND</t>
  </si>
  <si>
    <t>0143-1161</t>
  </si>
  <si>
    <t>1366-5901</t>
  </si>
  <si>
    <t>INT J REMOTE SENS</t>
  </si>
  <si>
    <t>Int. J. Remote Sens.</t>
  </si>
  <si>
    <t>15-16</t>
  </si>
  <si>
    <t>10.1080/014311699211624</t>
  </si>
  <si>
    <t>Remote Sensing; Imaging Science &amp; Photographic Technology</t>
  </si>
  <si>
    <t>239LC</t>
  </si>
  <si>
    <t>WOS:000082768800011</t>
  </si>
  <si>
    <t>Haas, C; Liu, Q; Martin, T</t>
  </si>
  <si>
    <t>Retrieval of Antarctic sea-ice pressure ridge frequencies from ERS SAR imagery by means of in situ laser profiling and usage of a neural network</t>
  </si>
  <si>
    <t>5th Circumpolar Remote Sensing Symposium</t>
  </si>
  <si>
    <t>JUN 22-25, 1998</t>
  </si>
  <si>
    <t>DUNDEE, SCOTLAND</t>
  </si>
  <si>
    <t>WEDDELL SEA; SURFACE</t>
  </si>
  <si>
    <t>Application of a neural network to ERS-SAR images to retrieve pressure ridge spatial frequencies is presented. For an independent dataset, the rms-error between the retrieved and the true ridge frequency as determined by means of laser profiling was about 5 ridges per kilometre, or 30%. The network is trained with results from in situ laser profiling of ridge distributions and coincident SAR backscatter properties. The study focuses on summer data from the Bellingshausen, Amundsen and Weddell Seas in Antarctica, which were gathered in February 1994 and 1997. Pressure ridge frequencies varied from 3 to 30 ridges per kilometre between different regions, thus providing a wide range of training and lest data for the algorithm development. From ERS-SAR images covering the area of the laser flights with a time difference of a few days at maximum, histograms of the backscatter coefficient sigma(0) were extracted. Statistical parameters (e.g. mean, standard deviation, tail-to-mean ratio) were calculated from these distributions and compared with the results of the laser flights. Generally, the mean backscatter increases with a growing ridge frequency, and the signal range becomes narrower. However, these correlations are only poor, and improved results are obtained when the statistical parameters are combined to train the neural network.</t>
  </si>
  <si>
    <t>Haas, C (corresponding author), Alfred Wegener Inst Polar &amp; Marine Res, Columbusstr, D-27568 Bremerhaven, Germany.</t>
  </si>
  <si>
    <t>Martin, Thomas/AAF-9515-2021; Haas, Christian/L-5279-2016; Liu, Quanhua/B-6608-2008</t>
  </si>
  <si>
    <t>Martin, Thomas/0000-0003-2897-722X; Haas, Christian/0000-0002-7674-3500; Liu, Quanhua/0000-0002-3616-351X</t>
  </si>
  <si>
    <t>ONE GUNPOWDER SQUARE, LONDON EC4A 3DE, ENGLAND</t>
  </si>
  <si>
    <t>10.1080/014311699211642</t>
  </si>
  <si>
    <t>WOS:000082768800013</t>
  </si>
  <si>
    <t>Schmidt, K; Wauer, J</t>
  </si>
  <si>
    <t>Application of the dense medium radiative transfer theory for calculating microwave emissivities of different sea ice types</t>
  </si>
  <si>
    <t>MULTIPLE-SCATTERING; NONTENUOUS MEDIA; SNOW; MODEL; FREQUENCIES; INVERSION; EQUATIONS; WATER; BRINE; SIZES</t>
  </si>
  <si>
    <t>The dense medium radiative transfer theory (DMRT) was used to calculate microwave emissivities of different undeformed sea ice types in the Arctic and Antarctic. The computed results were compared with measurements. More often taken for describing snow, we show that the DMRT can be applied to both sea ice and snow cover. While doing so the choice of appropriate parameters needed in the DMRT is discussed. As a result a multi-layered, uniform model for a variety of sea ice types including snow cover is obtained.</t>
  </si>
  <si>
    <t>German Aerosp Ctr, German Remote Sensing Data Ctr, D-17235 Neustrelitz, Germany</t>
  </si>
  <si>
    <t>Helmholtz Association; German Aerospace Centre (DLR)</t>
  </si>
  <si>
    <t>Schmidt, K (corresponding author), German Aerosp Ctr, German Remote Sensing Data Ctr, Kalkhorstweg 53, D-17235 Neustrelitz, Germany.</t>
  </si>
  <si>
    <t>10.1080/014311699211688</t>
  </si>
  <si>
    <t>WOS:000082768800017</t>
  </si>
  <si>
    <t>Williams, RN; Rees, WG; Young, NW</t>
  </si>
  <si>
    <t>A technique for the identification and analysis of icebergs in synthetic aperture radar images of Antarctica</t>
  </si>
  <si>
    <t>SEA-ICE</t>
  </si>
  <si>
    <t>This paper describes an image analysis technique developed to identify icebergs depicted in synthetic aperture radar images of Antarctica and to determine the outlines of these icebergs. The technique uses a pixel bonding process to delineate the edges of the icebergs. It then separates them from the background water and sea ice by an edge-guided image segmentation process. Characteristics such as centroid position and iceberg area were calculated for each iceberg segment and placed in a file for input to appropriate statistical data analysis software. The technique has been tested on three ERS-1 SAR sub-images in which it succeeded in identifying virtually all segments containing icebergs of size six pixels or larger. The images were first passed through an averaging filter to reduce speckle. This process produced a pixel size of 100 m x 100 m. As implemented, the technique overestimates iceberg areas by about 20% on average and the detection rate falls off rapidly for icebergs less than six pixels in size. Performance in these areas is expected to improve when additional stages, based on a more detailed analysis of pixel intensity, are implemented.</t>
  </si>
  <si>
    <t>Univ Tasmania, Sch Comp, Launceston, Tas 7250, Australia; Univ Cambridge, Scott Polar Res Inst, Cambridge CB2 1ER, England; Cooperat Res Ctr Antarctica &amp; So Ocean, Hobart, Tas 7001, Australia; Australian Antarctic Div, Hobart, Tas 7001, Australia</t>
  </si>
  <si>
    <t>University of Tasmania; University of Cambridge; Australian Antarctic Division</t>
  </si>
  <si>
    <t>Univ Tasmania, Sch Comp, POB 1214, Launceston, Tas 7250, Australia.</t>
  </si>
  <si>
    <t>R.Williams@utas.edu.au</t>
  </si>
  <si>
    <t>Rees, William Gareth/AAM-9701-2020; williams, Ray/HSE-3267-2023; Williams, Raymond/J-6104-2012</t>
  </si>
  <si>
    <t>Rees, William Gareth/0000-0001-6020-1232; Young, Neal/0000-0001-9729-3273</t>
  </si>
  <si>
    <t>10.1080/014311699211697</t>
  </si>
  <si>
    <t>WOS:000082768800018</t>
  </si>
  <si>
    <t>Kowalke, J</t>
  </si>
  <si>
    <t>Filtration in antarctic ascidians - striking a balance</t>
  </si>
  <si>
    <t>JOURNAL OF EXPERIMENTAL MARINE BIOLOGY AND ECOLOGY</t>
  </si>
  <si>
    <t>Antarctica; ascidians; pumping rates; retention efficiency</t>
  </si>
  <si>
    <t>KING-GEORGE-ISLAND; SCALLOP PLACOPECTEN-MAGELLANICUS; SOUTH-SHETLAND; POTTER COVE; PARTICULATE CONCENTRATIONS; WEDDELL SEA; GROWTH; COMMUNITIES; CARBON; FJORD</t>
  </si>
  <si>
    <t>Retention efficiencies and pumping rates of the four Antarctic ascidian species Ascidia challengeri, Cnemidocarpa verrucosa, Corella eumyota and Molgula pedunculata from Potter Cove, King George Island, were measured. None of the species reached a 100% retention efficiency at any given particle size. Pumping rates of the four species range between 250 and 349 ml/h per gram of ash free dry mass (T = 1 degrees C), being lower than measured in temperate water species. This is connected to the sediment laden environment in which the animals are dwelling. A less efficient retention and low pumping rates decrease the risk of filtering structures being clogged. (C) 1999 Elsevier Science B.V. All rights reserved.</t>
  </si>
  <si>
    <t>Alfred Wegener Inst Polar &amp; Marine Res, D-27515 Bremerhaven, Germany</t>
  </si>
  <si>
    <t>Kowalke, J (corresponding author), Alfred Wegener Inst Polar &amp; Marine Res, Columbusstr, D-27515 Bremerhaven, Germany.</t>
  </si>
  <si>
    <t>0022-0981</t>
  </si>
  <si>
    <t>J EXP MAR BIOL ECOL</t>
  </si>
  <si>
    <t>J. Exp. Mar. Biol. Ecol.</t>
  </si>
  <si>
    <t>10.1016/S0022-0981(99)00108-2</t>
  </si>
  <si>
    <t>Ecology; Marine &amp; Freshwater Biology</t>
  </si>
  <si>
    <t>Environmental Sciences &amp; Ecology; Marine &amp; Freshwater Biology</t>
  </si>
  <si>
    <t>243MP</t>
  </si>
  <si>
    <t>WOS:000083002100005</t>
  </si>
  <si>
    <t>Goosse, H; Fichefet, T</t>
  </si>
  <si>
    <t>Importance of ice-ocean interactions for the global ocean circulation: A model study</t>
  </si>
  <si>
    <t>ANTARCTIC BOTTOM WATER; WINTER MIXED LAYER; SEA-ICE; SOUTHERN-OCEAN; WORLD OCEAN; THERMOHALINE CIRCULATION; ARCTIC-OCEAN; HEAT-FLUX; DEEP CONVECTION; NUMERICAL-MODEL</t>
  </si>
  <si>
    <t>Numerical experiments are conducted with a coarse-resolution global ice-ocean model in order to determine to what degree the sea ice-ocean exchanges of heat, salt/freshwater, and momentum control the general circulation of the world ocean on long timescales. These experiments reveal that the formation of North Atlantic Deep Water (NADW) in the model results from the strong heat losses that occur at the oceanic surface in the high-latitude North Atlantic. The large-scale ice-ocean interactions have nearly no influence on this process. In particular, neglecting the freshwater flux associated with the southward ice transport at Fram Strait does not impact seriously on the salinity of the Greenland and Norwegian Seas. At equilibrium the absence of this freshwater flux is balanced by an enhanced oceanic freshwater transport from the Arctic. Furthermore, it appears that the model NADW formation does not critically depend on the media (ice or ocean) transporting the freshwater. Besides, both the salt/freshwater and heat exchanges between sea ice and ocean are crucial in the Southern Ocean for the deep water production, properties, and export. The large amount of brine released during ice formation on the model Antarctic continental shelf leads to very high salinities there. The resulting dense shelf waters are then transported toward great depths after some mixing with ambient waters, finally forming the Antarctic Bottom Water body. On the other hand, the net ice melting associated with ice convergence in some areas, such as the southwestern Pacific, stabilizes the water column and forbids deep mixing in these regions. Furthermore, the contact with the ice imposes that the polar surface waters must be maintained very close to their freezing point temperature. Our results suggest that this process takes an important part in increasing the density of the Antarctic Bottom Water. We also show that the modifications of the stress at the ocean surface induced by the internal ice stress have only a regional effect.</t>
  </si>
  <si>
    <t>Univ Catholique Louvain, Inst Astron &amp; Geophys G Lemaitre, B-1348 Louvain, Belgium</t>
  </si>
  <si>
    <t>Universite Catholique Louvain</t>
  </si>
  <si>
    <t>Univ Catholique Louvain, Inst Astron &amp; Geophys G Lemaitre, 2 Chem Cyclotron, B-1348 Louvain, Belgium.</t>
  </si>
  <si>
    <t>hgs@astr.ucl.ac.be</t>
  </si>
  <si>
    <t>C10</t>
  </si>
  <si>
    <t>10.1029/1999JC900215</t>
  </si>
  <si>
    <t>246KT</t>
  </si>
  <si>
    <t>WOS:000083163500005</t>
  </si>
  <si>
    <t>Hasumi, H; Suginohara, N</t>
  </si>
  <si>
    <t>Effects of locally enhanced vertical diffusivity over rough bathymetry on the world ocean circulation</t>
  </si>
  <si>
    <t>THERMOHALINE CIRCULATION; MODEL; SENSITIVITY; PARAMETERIZATION</t>
  </si>
  <si>
    <t>Observations indicate that vertical diffusivity in the deep ocean is considerably enhanced over rough bathymetry and is very small elsewhere. Here we investigate effects of locally enhanced vertical diffusivity over rough bottom topography on the world ocean circulation by use of a coarse resolution ocean general circulation model. Vertical diffusivity is enhanced in the model, taking into account effects of internal tide breaking, For comparison, two cases of an experiment are carried out, where vertical diffusivity increases with depth without horizontal inhomogeneity Horizontal distribution of deep upwelling is qualitatively different, depending on whether or not vertical diffusivity is horizontally inhomogeneous. Upwelling: of Circumpolar Deep Water in the Pacific and Antarctic Bottom Water in the Atlantic is confined where vertical diffusivity is enhanced in the case of horizontally inhomogeneous vertical diffusivity, whereas it is horizontally uniform in the other cases. This difference leads to different three-dimensional structure of the deep circulation.</t>
  </si>
  <si>
    <t>Univ Tokyo, Ctr Climate Syst Res, Meguro Ku, Tokyo 1538004, Japan</t>
  </si>
  <si>
    <t>University of Tokyo</t>
  </si>
  <si>
    <t>Univ Tokyo, Ctr Climate Syst Res, Meguro Ku, 4-6-1 Komaba, Tokyo 1538004, Japan.</t>
  </si>
  <si>
    <t>hasumi@ccsr.u-tokyo.ac.jp; nobuo@ccsr.u-tokyo.ac.jp</t>
  </si>
  <si>
    <t>10.1029/1999JC900191</t>
  </si>
  <si>
    <t>WOS:000083163500007</t>
  </si>
  <si>
    <t>Ehrmann, W; Polozek, K</t>
  </si>
  <si>
    <t>The heavy mineral record in the Pliocene to Quaternary sediments of the CIROS-2 drill core, McMurdo Sound, Antarctica</t>
  </si>
  <si>
    <t>SEDIMENTARY GEOLOGY</t>
  </si>
  <si>
    <t>Antarctica; McMurdo Sound; heavy minerals; source area; ice dynamics</t>
  </si>
  <si>
    <t>SOUTHERN VICTORIA LAND; TRANSANTARCTIC MOUNTAINS; ICE-SHEET; ROSS-SEA; EVOLUTION; UPLIFT; GEOCHRONOLOGY; GLACIER; HISTORY; REGION</t>
  </si>
  <si>
    <t>The heavy mineral assemblages of the Lower Pliocene to Quaternary glacial sediments of the CIROS-2 drill site, situated near the mouth of Ferrar Glacier on the McMurdo Sound shelf, Antarctica, were analysed by optical means in order to reconstruct the source areas and dynamics of the late Cenozoic Antarctic ice masses. The assemblages are dominated by pyroxenes, amphiboles, altered minerals and opaque minerals. Within the pyroxene group, clinopyroxenes are most abundant; within the amphibole group, green and brown hornblendes are dominant. Other important heavy minerals present in minor amounts are zircon, titanite, epidote, garnet and apatite. The downcore distribution of the heavy minerals allows a subdivision of the sedimentary sequence into two major units, which can both be further subdivided into two subunits. The Pliocene interval between 166 and 110 mbsf is characterized by relatively high concentrations of apatite, zircon, titanite, garnet, epidote and green hornblende. This assemblage accounts for some 40-60% of the heavy minerals and points to a source to the west of the drill site, in the Transantarctic Mountains, where intrusive, metamorphic and sedimentary rocks cover large areas. The interval 166-137 mbsf (Lower Pliocene) contains additional brown hornblende and palagonite, indicative of a volcanic, probably hyaloclastitic source, which possibly has to be sought beneath the ice of the Ferrar Glacier. In contrast, the uppermost Pliocene and Quaternary interval between 110 mbsf and the top of the core is characterized by high concentrations of clinopyroxenes, altered minerals and opaque minerals. This record points to a main source area in the south or east, where large areas are occupied by basaltic rocks of the McMurdo Volcanic Group. A slight change in the composition of the pyroxene group occurs within this interval, at 48 mbsf. Thus, the heavy minerals in the sediments of core CIROS-2 document different source areas and therewith major changes in the ice dynamics. During the Pliocene the ice discharged through the Transantarctic Mountains into the McMurdo Sound. The source area shifted in the Quaternary to the south, to the region of the present-day Ross Ice Shelf. (C) 1999 Elsevier Science B.V. All rights reserved.</t>
  </si>
  <si>
    <t>Inst Geol Wissensch, D-06108 Halle, Germany; Geiseltalmuseum, D-06108 Halle, Germany</t>
  </si>
  <si>
    <t>Ehrmann, W (corresponding author), Inst Geophys &amp; Geol, Talstr 35, D-04103 Leipzig, Germany.</t>
  </si>
  <si>
    <t>0037-0738</t>
  </si>
  <si>
    <t>SEDIMENT GEOL</t>
  </si>
  <si>
    <t>Sediment. Geol.</t>
  </si>
  <si>
    <t>10.1016/S0037-0738(99)00071-8</t>
  </si>
  <si>
    <t>253YM</t>
  </si>
  <si>
    <t>WOS:000083584800003</t>
  </si>
  <si>
    <t>Kjær, KH</t>
  </si>
  <si>
    <t>Mode of subglacial transport deduced from till properties, Myrdalsjokull, Iceland</t>
  </si>
  <si>
    <t>subglacial transport; deformable bed; grain-size; clast-morphology; geochemistry; Iceland</t>
  </si>
  <si>
    <t>GRAIN-SIZE DISTRIBUTION; ANTARCTIC ICE STREAM; SEDIMENT DEFORMATION; GLACIAL EROSION; LODGEMENT TILLS; BENEATH; GENESIS; DEBRIS; PALEOECOLOGY; DISPERSAL</t>
  </si>
  <si>
    <t>A multi-methological study of recent deposited till yields new insights into the mode of subglacial transport. At Slettjokull, the northern margin of the Myrdalsjokull ice-cap, the ice-flow direction, transport distance, transport path, and glacier regime are known for a well defined point source. This knowledge permits an investigation of the lateral development of till properties and the reconstruction of a sedimentological model comprising some of the parameters affecting the modification of sediment in subglacial transport. One of the most remarkable results from this investigation is the very short transport distance that is required for the different till properties to reach a mature state. Within the first 250 m of transport distance significant changes occur in the grain-size distribution, clast-morphology, geochemical and mineral magnetic properties. However, the variation beyond 250 m suggests that till properties are likely to be a function of parameters other than transport distance. It is inferred on the basis of a renewed depositional model that the physical processes and conditions in a deformable bed beneath Slettjokull are highly responsive to any change in type of substratum. Furthermore, it is proposed that the ability of comminution processes to act on the sediment in transport is controlled by the prevailing subglacial drainage conditions and its influence on the rheological behaviour of a deformable bed. As a consequence, it may be demonstrated that the sedimentary properties of the deforming bed till might change significantly over very short distances without direct correspondence to transport distance. (C) 1999 Elsevier Science B.V. All rights reserved.</t>
  </si>
  <si>
    <t>Univ Copenhagen, Inst Geol, DK-1350 Copenhagen K, Denmark</t>
  </si>
  <si>
    <t>Univ Copenhagen, Inst Geol, Oster Voldgade 10, DK-1350 Copenhagen K, Denmark.</t>
  </si>
  <si>
    <t>kk140470@geo.geol.ku.dk</t>
  </si>
  <si>
    <t>Kjaer, Kurt/A-4199-2013</t>
  </si>
  <si>
    <t>Kjaer, Kurt/0000-0002-8871-5179</t>
  </si>
  <si>
    <t>1879-0968</t>
  </si>
  <si>
    <t>10.1016/S0037-0738(99)00074-3</t>
  </si>
  <si>
    <t>WOS:000083584800005</t>
  </si>
  <si>
    <t>West, BP; Lin, J; Christie, DM</t>
  </si>
  <si>
    <t>Forces driving ridge propagation</t>
  </si>
  <si>
    <t>EAST PACIFIC RISE; OVERLAPPING SPREADING CENTERS; AUSTRALIAN-ANTARCTIC DISCORDANCE; ASTHENOSPHERIC FLOW BENEATH; 95.5-DEGREES W PROPAGATOR; SOUTHEAST INDIAN RIDGE; MID-ATLANTIC RIDGE; DE-FUCA RIDGE; RIFT PROPAGATION; CRUSTAL THICKNESS</t>
  </si>
  <si>
    <t>Recent multibeam bathymetric and geophysical data from the Southeast Indian Ridge (SEIR) reveal eight propagating ridges (PRs) moving down the regional bathymetry gradient toward the Australian-Antarctic Discordance (AAD). These PRs are propagating at a nearly uniform rate of 40- mm yr(-1) despite dramatic variations in axial morphology and segment length, and local reversals of the regional bathymetric gradient. Because existing dynamic rift propagation models do not explain the continued, uniform propagation of the diverse SEIR PRs, we have developed a new model that includes variable crustal thickness and thermally-driven, along-axis asthenospheric flow, in addition to topographic gradients, as positive contributions to the forces driving rift propagation. Along-axis asthenospheric flow and variations in crustal thickness along the SEIR appear to provide the first-order driving force required for ridge propagation, even in the highly segmented, magmatically starved region in and near the AAD where previous models for ridge propagation fail. Further, our model development requires that the rift valley at the propagating tip is a consequence of rifting in the cooler thermal regime of preexisting lithosphere, rather than a consequence of viscous resistance to flow. This explanation of PR tip topography is consistent with gravity data from the SEIR that suggest that the rift tip and associated pseudofaults are at least partially compensated by crustal thinning.</t>
  </si>
  <si>
    <t>Oregon State Univ, Coll Ocean &amp; Atmospher Sci, Corvallis, OR 97331 USA; Woods Hole Oceanog Inst, Dept Geol &amp; Geophys, Woods Hole, MA 02543 USA</t>
  </si>
  <si>
    <t>Oregon State University; Woods Hole Oceanographic Institution</t>
  </si>
  <si>
    <t>Oregon State Univ, Coll Ocean &amp; Atmospher Sci, Corvallis, OR 97331 USA.</t>
  </si>
  <si>
    <t>dchristie@oce.orst.edu</t>
  </si>
  <si>
    <t>Lin, Jian/0000-0002-6831-2014</t>
  </si>
  <si>
    <t>OCT 10</t>
  </si>
  <si>
    <t>B10</t>
  </si>
  <si>
    <t>10.1029/1999JB900154</t>
  </si>
  <si>
    <t>243VX</t>
  </si>
  <si>
    <t>WOS:000083019100002</t>
  </si>
  <si>
    <t>Willan, RCR; Kelley, SP</t>
  </si>
  <si>
    <t>Mafic dike swarms in the South Shetland Islands volcanic arc: Unravelling multiepisodic magmatism related to subduction and continental rifting</t>
  </si>
  <si>
    <t>CENTRAL LIVINGSTON ISLAND; CRETACEOUS BYERS GROUP; KING-GEORGE-ISLAND; ANTARCTIC PENINSULA; K-AR; GEOCHEMICAL CONSTRAINTS; TECTONIC EVOLUTION; EXCESS ARGON; NEW-ZEALAND; AGE</t>
  </si>
  <si>
    <t>Eight groups of mafic dikes and related high-level stocks cut Triassic accretionary complex and Mesozoic magmatic are formations on Livingston Island. Some are affected by silicic/sericitic alteration, related to Cretaceous hydrothermal activity, and propylitic/epidosite alteration, analogous to that in ocean floor sheeted dikes. Alteration was accompanied by major and trace element metasomatism. Ar-Ar analysis of the freshest rocks indicates five intrusive events, some of which are unexpectedly young. Groups 1-3 were intruded in the mid to late Cretaceous (similar to 108-74 Ma) and were coeval with the calc-alkaline are. Between 70 and 50 Ma, relatively rapid and oblique plate convergence led to strike-slip tectonism and a pause in magmatism. At similar to 52 Ma, orthogonal, slow convergence resulted in extensional faulting and emplacement of calc-alkaline (group 2) and primitive tholeiitic dikes (groups 4-6) between 51 and 45 Ma. Extension of Antarctic Peninsula-southern South American crust culminated in emplacement of mafic to intermediate, medium-grained plutons and group C porphyries between 44 and 36 Ma. Localized hydrothermal flow along fault zones resulted in partial to complete argon loss from nearby Cretaceous lavas and Ar-Ar reset ages of similar to 40 Ma in mid-Cretaceous hydrothermal K-feldspar. Primitive olivine basalts (group D) and epithermal carbonate veins (31-29 Ma) were emplaced during along-are extension accompanying the opening of Drake Passage and Powell Basin. Excess argon occurs in two forms: strongly held in melt? inclusions in the primitive tholeiites and weakly held in some secondary alteration. There is no radiometric evidence, in the area studied, for magmatism related to late Cenozoic subduction, nor to the Pleistocene-Recent opening of the back are Bransfield rift.</t>
  </si>
  <si>
    <t>Open Univ, Dept Earth Sci, Milton Keynes MK7 6AA, Bucks, England; British Antarctic Survey, NERC, Cambridge CB3 0ET, England</t>
  </si>
  <si>
    <t>Open University - UK; UK Research &amp; Innovation (UKRI); Natural Environment Research Council (NERC); NERC British Antarctic Survey</t>
  </si>
  <si>
    <t>Willan, RCR (corresponding author), Open Univ, Dept Earth Sci, Walton Hall, Milton Keynes MK7 6AA, Bucks, England.</t>
  </si>
  <si>
    <t>r.willari@bas.ac.uk; s.p.kelley@open.ac.uk</t>
  </si>
  <si>
    <t>Kelley, Simon/AAR-7075-2020</t>
  </si>
  <si>
    <t>Kelley, Simon/0000-0002-1756-0480</t>
  </si>
  <si>
    <t>10.1029/1999JB900180</t>
  </si>
  <si>
    <t>WOS:000083019100014</t>
  </si>
  <si>
    <t>Liu, HX; Jezek, KC; Li, BY</t>
  </si>
  <si>
    <t>Development of an Antarctic digital elevation model by integrating cartographic and remotely sensed data: A geographic information system based approach</t>
  </si>
  <si>
    <t>RONNE ICE SHELF; SATELLITE-ALTIMETRY; RADAR ALTIMETER; SHEET; TOPOGRAPHY; ERS-1; MAP</t>
  </si>
  <si>
    <t>We present a high-resolution digital elevation model (DEM) of the Antarctic. It was created in a geographic information system (GIS) environment by integrating the best available topographic data from a variety of sources. Extensive GIS-based error detection and correction operations ensured that our DEM is free of gross errors. The carefully designed interpolation algorithms for different types of source data and incorporation of surface morphologic information preserved and enhanced the fine surface structures present in the source data. The effective control of adverse edge effects and the use of the Hermite blending weight function in data merging minimized the discontinuities between different types of data, leading to a seamless and topographically consistent DEM throughout the Antarctic, This new DEM provides exceptional topographical details and represents a substantial improvement in horizontal resolution and vertical accuracy over the earlier, continental-scale renditions, particularly in mountainous and coastal regions. It has a horizontal resolution of 200 m over the rugged mountains, 400 m in the coastal regions, and approximately 5 km in the interior. The vertical accuracy of the DEM is estimated at about 100-130 m over the rugged mountainous area, better than 2 m for the ice shelves, better than 15 m for the interior ice sheet, and about 35 m for the steeper ice sheet perimeter. The Antarctic DEM can be obtained from the authors.</t>
  </si>
  <si>
    <t>Ohio State Univ, Byrd Polar Res Ctr, Columbus, OH 43210 USA; Ohio State Univ, Dept Geog, Columbus, OH 43210 USA; Ohio State Univ, Dept Geol Sci, Columbus, OH 43210 USA</t>
  </si>
  <si>
    <t>University System of Ohio; Ohio State University; University System of Ohio; Ohio State University; University System of Ohio; Ohio State University</t>
  </si>
  <si>
    <t>Ohio State Univ, Byrd Polar Res Ctr, Columbus, OH 43210 USA.</t>
  </si>
  <si>
    <t>liu@iceberg.mps.ohio-state.edu; jezek@iceberg.mps.ohio-state.edu; biyanli@iceberg.mps.ohio-state.edu</t>
  </si>
  <si>
    <t>10.1029/1999JB900224</t>
  </si>
  <si>
    <t>WOS:000083019100024</t>
  </si>
  <si>
    <t>Ackert, RP; Barclay, DJ; Borns, HW; Calkin, PE; Kurz, MD; Fastook, JL; Steig, EJ</t>
  </si>
  <si>
    <t>Measurements of past ice sheet elevations in interior West Antarctica</t>
  </si>
  <si>
    <t>SCIENCE</t>
  </si>
  <si>
    <t>COSMOGENIC CL-36; POLAR ICE; PRODUCTION-RATES; GLACIAL HISTORY; LATE WISCONSIN; EXPOSURE AGES; ROSS-SEA; BE-10; CHRONOLOGY; FLUCTUATIONS</t>
  </si>
  <si>
    <t>A Lateral moraine band on Mount Waesche, a volcanic nunatak in Marie Byrd Land, provides estimates of past ice sheet surface elevations in West Antarctica. Helium-3 and chlorine-36 surface exposure ages indicate that the proximal part of the moraine, up to 45 meters above the present ice surface, was deposited about 10,000 years ago, substantially Later than the maximum ice extent in the Ross Embayment. The upper distal part of the moraine may record multiple earlier ice sheet high stands. A nonequilibrium ice sheet model predicts a delay of several thousand years in maximum ice levels at Mount Waesche relative to the maximum ice extent in the Ross Sea. The glacial geologic evidence, coupled with the ice sheet model, indicates that the contribution of the Ross Sea sector of the West Antarctic Ice Sheet to Holocene sea Level rise was only about 3 meters. These results eliminate West Antarctic ice as the principle source of the large meltwater pulse during the early Holocene.</t>
  </si>
  <si>
    <t>Woods Hole Oceanog Inst, MIT Woods Hole Oceanog Inst Joint Program, Woods Hole, MA 02543 USA; Woods Hole Oceanog Inst, Dept Marine Chem &amp; Geochem, Woods Hole, MA 02543 USA; SUNY Coll Cortland, Dept Geol, Cortland, NY 13045 USA; Univ Maine, Inst Quaternary Studies, Orono, ME 04469 USA; Univ Maine, Dept Comp Sci, Orono, ME 04469 USA; Univ Colorado, Inst Arctic &amp; Alpine Res, Boulder, CO 80309 USA; Univ Penn, Dept Earth &amp; Environm Sci, Philadelphia, PA 19104 USA</t>
  </si>
  <si>
    <t>Massachusetts Institute of Technology (MIT); Woods Hole Oceanographic Institution; Woods Hole Oceanographic Institution; State University of New York (SUNY) System; SUNY Cortland; University of Maine System; University of Maine Orono; University of Maine System; University of Maine Orono; University of Colorado System; University of Colorado Boulder; University of Pennsylvania</t>
  </si>
  <si>
    <t>Ackert, RP (corresponding author), Woods Hole Oceanog Inst, MIT Woods Hole Oceanog Inst Joint Program, MS 25,Clark 419, Woods Hole, MA 02543 USA.</t>
  </si>
  <si>
    <t>; /G-9088-2015</t>
  </si>
  <si>
    <t>Barclay, David/0009-0007-9629-3731; Fastook, James/0000-0003-3900-671X; Kurz, Mark/0000-0003-1745-2356; /0000-0002-8191-5549</t>
  </si>
  <si>
    <t>AMER ASSOC ADVANCEMENT SCIENCE</t>
  </si>
  <si>
    <t>1200 NEW YORK AVE, NW, WASHINGTON, DC 20005 USA</t>
  </si>
  <si>
    <t>0036-8075</t>
  </si>
  <si>
    <t>Science</t>
  </si>
  <si>
    <t>OCT 8</t>
  </si>
  <si>
    <t>10.1126/science.286.5438.276</t>
  </si>
  <si>
    <t>243YE</t>
  </si>
  <si>
    <t>WOS:000083024400040</t>
  </si>
  <si>
    <t>Conway, H; Hall, BL; Denton, GH; Gades, AM; Waddington, ED</t>
  </si>
  <si>
    <t>Past and future grounding-line retreat of the West Antarctic Ice Sheet</t>
  </si>
  <si>
    <t>SEA-LEVEL RECORD; LATE WISCONSIN; COLLAPSE; OCEAN; CONFIGURATION; DEGLACIATION; RADIOCARBON; CHRONOLOGY; HISTORY; SHELF</t>
  </si>
  <si>
    <t>The history of deglaciation of the West Antarctic Ice Sheet (WAIS) gives clues about its future. Southward grounding-line migration was dated past three Locations in the Ross Sea Embayment. Results indicate that most recession occurred during the middle to Late Holocene in the absence of substantial sea Level or climate forcing. Current grounding-line retreat may reflect ongoing ice recession that has been under way since the early Holocene. If so, the WAIS could continue to retreat even in the absence of further external forcing.</t>
  </si>
  <si>
    <t>Univ Washington, Geophys Program, Seattle, WA 98195 USA; Univ Maine, Inst Quaternary Studies, Orono, ME 04469 USA; Univ Maine, Dept Geol Sci, Orono, ME 04469 USA; Woods Hole Oceanog Inst, Dept Geol &amp; Geophys, Woods Hole, MA 02543 USA</t>
  </si>
  <si>
    <t>University of Washington; University of Washington Seattle; University of Maine System; University of Maine Orono; University of Maine System; University of Maine Orono; Woods Hole Oceanographic Institution</t>
  </si>
  <si>
    <t>Conway, H (corresponding author), Univ Washington, Geophys Program, Seattle, WA 98195 USA.</t>
  </si>
  <si>
    <t>Conway, Howard/0000-0003-4634-3474</t>
  </si>
  <si>
    <t>10.1126/science.286.5438.280</t>
  </si>
  <si>
    <t>WOS:000083024400041</t>
  </si>
  <si>
    <t>Joughin, I; Gray, L; Bindschadler, R; Price, S; Morse, D; Hulbe, C; Mattar, K; Werner, C</t>
  </si>
  <si>
    <t>Tributaries of West Antarctic Ice streams revealed by RADARSAT interferometry</t>
  </si>
  <si>
    <t>SUBGLACIAL GEOLOGY; SATELLITE IMAGERY; SHEET; STAGNATION; GLACIER; ONSET; FLOW</t>
  </si>
  <si>
    <t>lnterferometric RADARSAT data are used to map ice motion in the source areas of four West Antarctic ice streams. The data reveal that tributaries, coincident with subglacial valleys, provide a spatially extensive transition between slow inland flow and rapid ice stream flow and that adjacent ice streams draw from shared source regions. Two tributaries flow into the stagnant ice stream C, creating an extensive region that is thickening at an average rate of 0.49 meters per year. This is one of the Largest rates of thickening ever reported in Antarctica.</t>
  </si>
  <si>
    <t>CALTECH, Jet Prop Lab, Pasadena, CA 91109 USA; Canada Ctr Remote Sensing, Applicat Div, Ottawa, ON K1A 0Y7, Canada; NASA, Oceans &amp; Ice Branch, Goddard Space Flight Ctr, Greenbelt, MD 20771 USA; SAIC Gen Sci Corp, Beltsville, MD 20705 USA; Univ Texas, Inst Geophys, Austin, TX 78759 USA</t>
  </si>
  <si>
    <t>National Aeronautics &amp; Space Administration (NASA); NASA Jet Propulsion Laboratory (JPL); California Institute of Technology; Natural Resources Canada; Strategic Policy &amp; Results Sector - Natural Resources Canada; Canada Centre for Mapping &amp; Earth Observation (CCMEO); National Aeronautics &amp; Space Administration (NASA); NASA Goddard Space Flight Center; Science Applications International Corporation (SAIC); University of Texas System; University of Texas Austin</t>
  </si>
  <si>
    <t>CALTECH, Jet Prop Lab, M-S 300-235,4800 Oak Grove Dr, Pasadena, CA 91109 USA.</t>
  </si>
  <si>
    <t>ian@radar-sci.jpl.nasa.gov</t>
  </si>
  <si>
    <t>Joughin, Ian R/A-2998-2008; Joughin, Ian/AAR-7778-2021; Price, Stephen/E-1568-2013</t>
  </si>
  <si>
    <t>Joughin, Ian R/0000-0001-6229-679X; Joughin, Ian/0000-0001-6229-679X; Hulbe, Christina/0000-0003-4765-7037; Price, Stephen/0000-0001-6878-2553</t>
  </si>
  <si>
    <t>1095-9203</t>
  </si>
  <si>
    <t>10.1126/science.286.5438.283</t>
  </si>
  <si>
    <t>WOS:000083024400042</t>
  </si>
  <si>
    <t>Zdzitowiecki, K</t>
  </si>
  <si>
    <t>Digeneans of the families Opecoelidae and Lepocreadiidae, parasites of Lepidonotothen macrophthalma from the North Scotia Ridge, and remarks on the discrimination of Neolepidapedon magnatestis and N-trematomi</t>
  </si>
  <si>
    <t>ACTA PARASITOLOGICA</t>
  </si>
  <si>
    <t>fish digeneans; Lepidonotothen macrophthalma; Macvicaria; morphology; Neolepidapedon; North Scotia Ridge</t>
  </si>
  <si>
    <t>MACVICARIA</t>
  </si>
  <si>
    <t>Twenty fishes Lepidonotothen macrophthalma (Norman) caught at the North Scotia Ridge were examined. They harboured four digenean species - the opecoelids, Macvicaria antarctica (Kovalyova et Gaevskaya, 1974) and M. skorai sp. n., the lepocreadiid, Neolepidapedon magnatestis (Gaevskaya et Kovalyova, 1976), and the unnamed hemiurid (presently not described). The total prevalence of Digenea (four species) was 55%, intensity range 2-21 and relative density 3.50. M. skorai sp. n., which occurs sympatrically with M. antarctica, is described. M. skorai sp. n. is characterised by the cirrus sac reaching posterior to the ventral sucker, sucker ratio based on mean diameter 1:1.50-1.92 (mean 1.74), oblique arrangement of testes, egg length 0.043-0.055 mm (usually 0.045-0.051 mm) and testes usually obscured dorsally by vitelline follicles. This species is compared with all Antarctic and sub-Antarctic Macvicaria occurring in Perciformes, N. magnatestis is redescribed from the noto-theniids L. macrophthalma and L. squamifrons (Gunther) and compared with N. trematomi Prudhoe et Bray, 1973. Specimens previously reported by Zdzitowiecki (1990b) as N. magnatestis collected from Trematomus hansoni and T. bernacchii in the South Shetland Islands area and from Dissostichus eleginoides collected off the Shag Rocks (South Georgia area) are considered N. trematomi.</t>
  </si>
  <si>
    <t>Polish Acad Sci, W Stefanski Inst Parasitol, PL-00818 Warsaw, Poland</t>
  </si>
  <si>
    <t>Polish Academy of Sciences</t>
  </si>
  <si>
    <t>Polish Acad Sci, W Stefanski Inst Parasitol, Twarda 51-55, PL-00818 Warsaw, Poland.</t>
  </si>
  <si>
    <t>SPRINGER INTERNATIONAL PUBLISHING AG</t>
  </si>
  <si>
    <t>CHAM</t>
  </si>
  <si>
    <t>GEWERBESTRASSE 11, CHAM, CH-6330, SWITZERLAND</t>
  </si>
  <si>
    <t>1230-2821</t>
  </si>
  <si>
    <t>1896-1851</t>
  </si>
  <si>
    <t>ACTA PARASITOL</t>
  </si>
  <si>
    <t>Acta Parasitolog.</t>
  </si>
  <si>
    <t>OCT</t>
  </si>
  <si>
    <t>Parasitology; Veterinary Sciences; Zoology</t>
  </si>
  <si>
    <t>277BL</t>
  </si>
  <si>
    <t>WOS:000084912800006</t>
  </si>
  <si>
    <t>Yoneyama, S; Hashimoto, S; Honma, K</t>
  </si>
  <si>
    <t>Seasonal changes of human circadian rhythms in Antarctica</t>
  </si>
  <si>
    <t>AMERICAN JOURNAL OF PHYSIOLOGY-REGULATORY INTEGRATIVE AND COMPARATIVE PHYSIOLOGY</t>
  </si>
  <si>
    <t>sleep; melatonin; rectal temperature; social cue; photoperiod</t>
  </si>
  <si>
    <t>MELATONIN RHYTHM; LIGHT; SLEEP; CORTISOL; BRIGHT; PHOTOPERIOD; EXPOSURE</t>
  </si>
  <si>
    <t>The human circadian rhythms in sleep, activity, plasma melatonin, and rectal temperature were explored under two conflicting time cues in Antarctica: an extreme photoperiod and a strict work schedule. The nine healthy male subjects stayed at the Antarctic zone (latitude 66.5-90 degrees south) for 15 mo including a 13-mo wintering at the Dome station (latitude 77 degrees south). Neither the phases nor the amounts of sleep and daily activity underwent a seasonal change. On the other hand, the peak phase of melatonin rhythm was phase delayed by 4.1 h in winter compared with summer. When the analysis is limited to the Dome data, the seasonal difference was reduced to 1.3 h. Similarly the trough phase of rectal temperature rhythm in two of three subjects was phase delayed by similar to 2 h in winter. From these findings, the sleep or activity rhythm is concluded to be reset predominantly by the work schedule, whereas the circadian rhythm in plasma melatonin and rectal temperature is substantially influenced by the photoperiod.</t>
  </si>
  <si>
    <t>Hokkaido Univ, Sch Med, Dept Physiol, Kita Ku, Sapporo, Hokkaido 0600815, Japan</t>
  </si>
  <si>
    <t>Honma, K (corresponding author), Hokkaido Univ, Sch Med, Dept Physiol, Kita Ku, N15 W7, Sapporo, Hokkaido 0600815, Japan.</t>
  </si>
  <si>
    <t>AMER PHYSIOLOGICAL SOC</t>
  </si>
  <si>
    <t>9650 ROCKVILLE PIKE, BETHESDA, MD 20814 USA</t>
  </si>
  <si>
    <t>0363-6119</t>
  </si>
  <si>
    <t>AM J PHYSIOL-REG I</t>
  </si>
  <si>
    <t>Am. J. Physiol.-Regul. Integr. Comp. Physiol.</t>
  </si>
  <si>
    <t>R1091</t>
  </si>
  <si>
    <t>R1097</t>
  </si>
  <si>
    <t>10.1152/ajpregu.1999.277.4.R1091</t>
  </si>
  <si>
    <t>Physiology</t>
  </si>
  <si>
    <t>259XR</t>
  </si>
  <si>
    <t>WOS:000083919700021</t>
  </si>
  <si>
    <t>Icardo, JM; Colvee, E; Cerra, MC; Tota, B</t>
  </si>
  <si>
    <t>Bulbus arteriosus of the antarctic teleosts.: II.: The red-blooded Trematomus bernacchii</t>
  </si>
  <si>
    <t>ANATOMICAL RECORD</t>
  </si>
  <si>
    <t>Antarctic; teleost; heart; bulbus arteriosus; Trematomus bernacchii</t>
  </si>
  <si>
    <t>LYMPHOID ORGANS; HEART VENTRICLE; BARRIER CELLS; FISH HEART; MACROPHAGES; ELASMOBRANCHS; MORPHOLOGY; DEATH</t>
  </si>
  <si>
    <t>The structure of the bulbus arteriosus of the Antarctic teleost, Trematomus bernacchii, has been studied by light, scanning, and transmission electron microscopy. The wall of the bulbus arteriosus is divided into endocardial, subendocardial, middle and external layers. The endocardial endothelium covers the inner surface of the bulbus wall and invaginates into the subendocardium to form solid epithelial cords that show secretory activity. The subendocardial tissue is divided into finger-like ridges. Ridge cells located under the endocardium appear in niches limited by collagen fibers and thin cell extensions. Away from the endocardium ridge cells cluster into small groups, show some of the characteristics of smooth muscle cells, and appear enmeshed in a filamentous meshwork that lacks collagen and elastin fibers. The middle bulbus layer is formed by typical smooth muscle cells that are enmeshed in a filamentous meshwork similar to that observed in the ridges. The ridges and the middle layer appear to be formed by the same cell type, smooth muscle, with a gradient of differentiation from the endocardium toward the middle layer. In the absence of elastin fibers the filamentous meshwork should confer elastic properties to the bulbus wall. The stretching of the meshwork along the main axis of the middle layer cells, and between different cellular layers, suggests the existence of tensile stress and, hence, the involvement of smooth muscle cells in bulbus wall dynamics. The external layer is formed by numerous cellular types embedded in a collagenous matrix. Among these cellular types, myofibroblasts, macrophages, granulocytes, lymphocytes, dendrite-like cells, degenerating cells, and plasma cells can be recognized. The subepicardial tissue appears to be a specialized site involved in the production of the humoral immune response and displays many of the morphological characteristics of a germinal center. The outer limiting layer of the bulbus, the visceral pericardium, is formed by epithelial cells that show desmosomes and tight junctions. This suggests a close control of permeability with respect to the pericardial fluid. Anat Rec 256:116-126, 1999. (C) 1999 Wiley-Liss, Inc.</t>
  </si>
  <si>
    <t>Univ Cantabria, Fac Med, Dept Anat &amp; Cell Biol, Santander 39011, Spain; Univ Calabria, Dept Cell Biol, I-87030 Cosenza, Italy; Staz Zool Anton Dohrn, I-80121 Naples, Italy</t>
  </si>
  <si>
    <t>Universidad de Cantabria; University of Calabria; Stazione Zoologica Anton Dohrn di Napoli</t>
  </si>
  <si>
    <t>Icardo, JM (corresponding author), Univ Cantabria, Fac Med, Dept Anat &amp; Cell Biol, Poligono Cazona S-N, Santander 39011, Spain.</t>
  </si>
  <si>
    <t>icardojm@medi.unican.es</t>
  </si>
  <si>
    <t>Icardo, Jose Manuel/ABH-5431-2020</t>
  </si>
  <si>
    <t>Icardo, Jose Manuel/0000-0001-9543-2444; Cerra, Maria Carmela/0000-0002-2091-928X</t>
  </si>
  <si>
    <t>WILEY-LISS</t>
  </si>
  <si>
    <t>DIV JOHN WILEY &amp; SONS INC, 605 THIRD AVE, NEW YORK, NY 10158-0012 USA</t>
  </si>
  <si>
    <t>0003-276X</t>
  </si>
  <si>
    <t>ANAT REC</t>
  </si>
  <si>
    <t>Anat. Rec.</t>
  </si>
  <si>
    <t>OCT 1</t>
  </si>
  <si>
    <t>10.1002/(SICI)1097-0185(19991001)256:2&lt;116::AID-AR2&gt;3.0.CO;2-Q</t>
  </si>
  <si>
    <t>Anatomy &amp; Morphology</t>
  </si>
  <si>
    <t>237UP</t>
  </si>
  <si>
    <t>WOS:000082674700002</t>
  </si>
  <si>
    <t>Lepidi, S; Francia, P; Villante, U; Meloni, A; Lazarus, AJ; Lepping, RP</t>
  </si>
  <si>
    <t>The Earth's passage of the April 11, 1997 coronel ejecta: geomagnetic field fluctuations at high and low latitude during northward interplanetary magnetic field conditions</t>
  </si>
  <si>
    <t>magnetospheric physics (MHD waves and; instabilities, solar wind-magnetosphere interactions)</t>
  </si>
  <si>
    <t>SUDDEN IMPULSES; MAGNETOSPHERE; CLOUD</t>
  </si>
  <si>
    <t>An analysis of the low frequency geomagnetic field fluctuations at an Antarctic (Terra Nova Bay) and a low latitude (L'Aquila, Italy) station during the Earth's passage of a coronal ejecta on April 11, 1997 shows that major solar wind pressure variations were followed at both stations by a high fluctuation level. During northward interplanetary magnetic field conditions and when Terra Nova Bay is close to the local geomagnetic noon, coherent fluctuations, at the same frequency (3.6 mHz) and with polarization characteristics indicating an antisunward propagation, were observed simultaneously at the two stations. An analysis of simultaneous measurements from geosynchronous satellites shows evidence for pulsations at approximately the same frequencies also in the magnetospheric field. The observed waves might then be interpreted as oscillation modes, triggered by an external stimulation, extending to a major portion of the Earth's magnetosphere.</t>
  </si>
  <si>
    <t>Univ Aquila, Dipartimento Fis, I-67100 Laquila, Italy; Ist Nazl Geofis, I-00161 Rome, Italy; MIT, Ctr Space Res, Cambridge, MA 02139 USA; NASA, Goddard Space Flight Ctr, Extraterr Phys Lab, Greenbelt, MD 20771 USA</t>
  </si>
  <si>
    <t>University of L'Aquila; Istituto Nazionale Geofisica e Vulcanologia (INGV); Massachusetts Institute of Technology (MIT); National Aeronautics &amp; Space Administration (NASA); NASA Goddard Space Flight Center</t>
  </si>
  <si>
    <t>Lepidi, S (corresponding author), Univ Aquila, Dipartimento Fis, I-67100 Laquila, Italy.</t>
  </si>
  <si>
    <t>Villante, Umberto/0000-0002-3630-7958</t>
  </si>
  <si>
    <t>10.1007/s00585-999-1245-4</t>
  </si>
  <si>
    <t>249BD</t>
  </si>
  <si>
    <t>WOS:000083311500001</t>
  </si>
  <si>
    <t>Wall, DH; Virginia, RA</t>
  </si>
  <si>
    <t>Controls on soil biodiversity: insights from extreme environments</t>
  </si>
  <si>
    <t>APPLIED SOIL ECOLOGY</t>
  </si>
  <si>
    <t>species richness; deserts; survival; ecosystem function; disturbance; nematodes</t>
  </si>
  <si>
    <t>CHIHUAHUAN DESERT; TERRESTRIAL ECOSYSTEMS; PROSOPIS-GLANDULOSA; FEEDING NEMATODES; TAYLOR VALLEY; GLOBAL CHANGE; DISTURBANCE; ANTARCTICA; DIVERSITY; BIOMASS</t>
  </si>
  <si>
    <t>Research in low biodiversity extreme environments allows separation of the climatic, soil and biological interactions that determine soil biodiversity and community structure. Studies focused on the response of low diversity communities in soils of the Antarctic Dry Valleys and the Chihuahuan Desert of the southwestern USA, to manipulations of soil resources and climate, offer the best opportunity to learn about the environmental controls on soil biodiversity and the role of biodiversity in soil functioning. We propose that insights based on research in these extreme environments should be applicable to understanding soil biodiversity in more complex, temperate and tropical ecosystems. The study of extreme soil ecosystems may also provide information on the response of soil biodiversity to increasing occurrences of environmental extremes that are predicted to occur from global change models. Studies from hot and cold deserts show that decomposition-based food webs can be very simple, that aridity produces similar mechanisms for survival and dispersal of organisms in temperate and polar systems, that suitable soil habitats are patchily distributed in arid environments, and the low biodiversity of extreme soil ecosystems creates little or no functional redundancy making these systems susceptible to disturbance. We suggest that species within the same functional group can have small differences in ecology that are sufficient to affect ecosystem processes. When this occurs, differential responses of species to disturbance within a functional group will not stabilise the soil ecosystem, but rather lead to dramatic changes in community composition and ecosystem process rates. 1999 Elsevier Science B.V. All rights reserved.</t>
  </si>
  <si>
    <t>Colorado State Univ, Nat Resource Ecol Lab, Ft Collins, CO 80523 USA.</t>
  </si>
  <si>
    <t>diana@lternet.edu</t>
  </si>
  <si>
    <t>0929-1393</t>
  </si>
  <si>
    <t>1873-0272</t>
  </si>
  <si>
    <t>APPL SOIL ECOL</t>
  </si>
  <si>
    <t>Appl. Soil Ecol.</t>
  </si>
  <si>
    <t>10.1016/S0929-1393(99)00029-3</t>
  </si>
  <si>
    <t>Soil Science</t>
  </si>
  <si>
    <t>Agriculture</t>
  </si>
  <si>
    <t>252TR</t>
  </si>
  <si>
    <t>WOS:000083518800005</t>
  </si>
  <si>
    <t>Butler, HG</t>
  </si>
  <si>
    <t>Temporal plankton dynamics in a maritime Antarctic lake</t>
  </si>
  <si>
    <t>ARCHIV FUR HYDROBIOLOGIE</t>
  </si>
  <si>
    <t>FRESH-WATER ECOSYSTEMS; MICROBIAL PLANKTON; CILIATED PROTOZOA; NAKED AMEBAS; SIGNY ISLAND; ANNUAL CYCLE; FOOD-WEB; MARINE; PROTOZOOPLANKTON; ABUNDANCE</t>
  </si>
  <si>
    <t>Changes in abundance, diversity and productivity of plankton in a maritime Antarctic lake were studied between December 1994 and February 1996. There were large intra- and inter-annual fluctuations in population densities, which were related to changing physical and chemical parameters. The plankton included an abundant protozoan population, comprising at least 66 taxa. This is amongst the highest diversities so far reported for Antarctic lakes. Heterotrophic nanoflagellates (HNF) were the most common, with densities between 4 x 10(4) and 1.5 x 10(7)1(-1), and were the largest contributors to total protozoan carbon biomass for most of the year. Ciliate abundance varied from 4.0 x 10(0) to 1.4 x 10(4)1(-1) and included taxa from several trophic levels. Numbers of naked amoebae were usually low but occasional patches of high density occurred. An anoxic sump developed in bottom waters at the end of the winter and this contained a distinct population of anaerobic HNF There was evidence that the excrement of increasing fur seal numbers in the lake catchment over the last 15 years is having an impact on the lake ecosystem. The Ch1-a maximum of 49 mu g 1(-1) and primary productivity of up to 40 mgC m(-3) h(-1) were significantly higher than those reported by previous studies of this lake and continental Antarctic lakes. Increased summer bacterial abundance and productivity, together with higher winter nutrient concentrations, were also noted.</t>
  </si>
  <si>
    <t>British Antarctic Survey, Cambridge CB3 0ET, England</t>
  </si>
  <si>
    <t>Butler, HG (corresponding author), British Antarctic Survey, High Cross,Madingley Rd, Cambridge CB3 0ET, England.</t>
  </si>
  <si>
    <t>E SCHWEIZERBARTSCHE VERLAGSBUCHHANDLUNG</t>
  </si>
  <si>
    <t>STUTTGART</t>
  </si>
  <si>
    <t>NAEGELE U OBERMILLER, SCIENCE PUBLISHERS, JOHANNESSTRASSE 3A, D 70176 STUTTGART, GERMANY</t>
  </si>
  <si>
    <t>0003-9136</t>
  </si>
  <si>
    <t>ARCH HYDROBIOL</t>
  </si>
  <si>
    <t>Arch. Hydrobiol.</t>
  </si>
  <si>
    <t>Limnology; Marine &amp; Freshwater Biology</t>
  </si>
  <si>
    <t>254KJ</t>
  </si>
  <si>
    <t>WOS:000083610200003</t>
  </si>
  <si>
    <t>Kahl, JDW; Zaitseva, NA; Khattatov, V; Schnell, RC; Bacon, DM; Bacon, J; Radionov, V; Serreze, MC</t>
  </si>
  <si>
    <t>Radiosonde observations from the former Soviet North Pole series of drifting ice stations, 1954-90</t>
  </si>
  <si>
    <t>BULLETIN OF THE AMERICAN METEOROLOGICAL SOCIETY</t>
  </si>
  <si>
    <t>An historical archive of over 25 000 radiosonde observations from the former Soviet North Pole series of drifting ice stations has been compiled and made available to interested researchers. This archive is the only long-term set of meteorological sounding data over the Arctic Ocean. The digital archive is a result of the multiyear, collaborative efforts of a group of United States and Russian scientists and keypunch operators working under the auspices of Working Group VIII, an area of study within the United States-Russian Federation Agreement for Protection of the Environment and Natural Resources. The archive contains soundings from 21 drifting stations over the period 1954-90 and is being distributed by the National Snow and Ice Data Center in Boulder, Colorado.</t>
  </si>
  <si>
    <t>Univ Wisconsin, Dept Math Sci, Atmospher Sci Grp, Milwaukee, WI 53201 USA; Russian Fed Serv Hydrometeorol &amp; Environm Monitor, Cent Aerol Observ, Moscow, Russia; NOAA, CMDL, Mauna Loa Observ, Hilo, HI USA; Arctic &amp; Antarctic Res Inst, St Petersburg 199226, Russia; Univ Colorado, Cooperat Inst Res Environm Sci, Boulder, CO 80309 USA</t>
  </si>
  <si>
    <t>University of Wisconsin System; University of Wisconsin Milwaukee; National Oceanic Atmospheric Admin (NOAA) - USA; Arctic &amp; Antarctic Research Institute; University of Colorado System; University of Colorado Boulder</t>
  </si>
  <si>
    <t>Kahl, JDW (corresponding author), Univ Wisconsin, Dept Math Sci, Atmospher Sci Grp, Milwaukee, WI 53201 USA.</t>
  </si>
  <si>
    <t>Radionov, Vladimir F./O-3038-2017; Schnell, Russell/N-6100-2014</t>
  </si>
  <si>
    <t>Schnell, Russell/0000-0002-5792-6205</t>
  </si>
  <si>
    <t>0003-0007</t>
  </si>
  <si>
    <t>B AM METEOROL SOC</t>
  </si>
  <si>
    <t>Bull. Amer. Meteorol. Soc.</t>
  </si>
  <si>
    <t>10.1175/1520-0477(1999)080&lt;2019:ROFTFS&gt;2.0.CO;2</t>
  </si>
  <si>
    <t>239UJ</t>
  </si>
  <si>
    <t>WOS:000082787800002</t>
  </si>
  <si>
    <t>Bradshaw, CJA; Thompson, CM; Davis, LS; Lalas, C</t>
  </si>
  <si>
    <t>Pup density related to terrestrial habitat use by New Zealand fur seals</t>
  </si>
  <si>
    <t>ARCTOCEPHALUS-FORSTERI; TEMPERATURE REGULATION; OTAGO PENINSULA; ISLAND; GALAPAGOENSIS; ABUNDANCE; SURVIVAL</t>
  </si>
  <si>
    <t>Features of the terrain are important in the selection of terrestrial habitat by otariid seals. Fur seals use rocky shorelines where terrain features such as crevices and ledges may provide shelter for pups. New Zealand fur seals (Arctocephalus forsteri) are increasing in number and expanding their range, requiring them to select new habitat for breeding. Predicting population expansion is important for assessing potential conflicts with commercial fisheries. We quantified terrain features at 25 breeding colonies and 8 nonbreeding colonies around South Island. Univariate tests demonstrated some differences in terrain between breeding and nonbreeding colonies, although principal components analysis (PCA) did not reveal any obvious differences. We suggest that the power to detect differences is reduced by the tendency for nonbreeding colonies to become breeding colonies over time as the population increases. We found a significant relationship between pup density and terrain (i.e., PCA variables) within breeding colonies. The terrain occupied by high-density colonies contained more and smaller rocks, more crevices and ledges, less-pronounced slopes, higher cliffs, and a more westerly exposure than that occupied by low-density colonies. Smaller rocks may provide more spaces in which pups can find shelter; less-pronounced slopes may facilitate pup mobility and higher cliffs may increase shading. We suggest that in addition to terrain features, other phenomena are also involved in breeding-site selection.</t>
  </si>
  <si>
    <t>Univ Tasmania, Sch Zool, Antarctic Wildlife Res Unit, Hobart, Tas 7001, Australia; Univ Otago, Dept Zool, Dunedin, New Zealand; Univ Otago, Dept Math &amp; Stat, Dunedin, New Zealand</t>
  </si>
  <si>
    <t>University of Tasmania; University of Otago; University of Otago</t>
  </si>
  <si>
    <t>Bradshaw, CJA (corresponding author), Univ Tasmania, Sch Zool, Antarctic Wildlife Res Unit, POB 252-05, Hobart, Tas 7001, Australia.</t>
  </si>
  <si>
    <t>Davis, Lloyd/HJI-3533-2023; Bradshaw, Corey J. A./A-1311-2008</t>
  </si>
  <si>
    <t>Bradshaw, Corey J. A./0000-0002-5328-7741</t>
  </si>
  <si>
    <t>10.1139/cjz-77-10-1579</t>
  </si>
  <si>
    <t>265VK</t>
  </si>
  <si>
    <t>WOS:000084266500010</t>
  </si>
  <si>
    <t>Pörtner, HO; Hardewig, I; Peck, LS</t>
  </si>
  <si>
    <t>Mitochondrial function and critical temperature in the Antarctic bivalve, Laternula elliptica</t>
  </si>
  <si>
    <t>COMPARATIVE BIOCHEMISTRY AND PHYSIOLOGY A-MOLECULAR &amp; INTEGRATIVE PHYSIOLOGY</t>
  </si>
  <si>
    <t>activation energy; antarctic bivalve; cold adaptation; critical temperature; isocitrate dehydrogenase; Laternula elliptica; mitochondria; proton leak</t>
  </si>
  <si>
    <t>STANDARD METABOLIC-RATE; INNER MEMBRANE; PROTON PERMEABILITY; MUSCLE MITOCHONDRIA; LIVER-MITOCHONDRIA; ENERGY-METABOLISM; OXIDATIVE-PHOSPHORYLATION; COUPLED MITOCHONDRIA; ARENICOLA-MARINA; SUBSTRATE CYCLE</t>
  </si>
  <si>
    <t>Thermal sensitivities of maximum respiration and proton leakage were compared in gill mitochondria of the Antarctic bivalve Laternula elliptica for an assessment of the contribution of mitochondrial mechanisms to limiting temperature tolerance. Proton leakage was measured as the oxygen consumption rate during blockage of oxidative phosphorylation (state IV respiration + oligomycin). The maximum capacity of NADP dependent mitochondrial isocitrate dehydrogenase (IDH) was investigated as part of a proposed mitochondrial substrate cycle provoking proton leakage by the action of transhydrogenase. State III and IV + respiration rose exponentially with temperature. Thermal sensitivities of proton leakage and IDH were unusually high, in accordance with the hypothesis that H+ leakage is an enzyme catalysed process with IDH being involved. In contrast to proton leakage, state III respiration exhibited an Arrhenius break temperature at 9 degrees C, visible as a drop in thermal sensitivity close to, but still above the critical temperature of the species (3-6 degrees C). Progressive uncoupling of mitochondria led to a drop in RCR values and P/O ratios at high temperature. The same discontinuity as for state III respiration was found for the activity of mitochondrial IDH suggesting that this enzyme may influence the thermal control of mitochondrial respiration. In general, the high thermal sensitivity of proton leakage may cause an excessive rise in mitochondrial oxygen demand and a decreased efficiency of oxidative phosphorylation. This may exceed the whole animal capacity of oxygen uptake and distribution by ventilation and circulation and set a thermal limit, characterized by the transition to anaerobic metabolism. (C) 1999 Elsevier Science Inc. All rights reserved.</t>
  </si>
  <si>
    <t>Alfred Wegener Inst Polar &amp; Marine Res, D-27515 Bremerhaven, Germany; British Antarctic Survey, Cambridge CB3 0ET, England</t>
  </si>
  <si>
    <t>Helmholtz Association; Alfred Wegener Institute, Helmholtz Centre for Polar &amp; Marine Research; UK Research &amp; Innovation (UKRI); Natural Environment Research Council (NERC); NERC British Antarctic Survey</t>
  </si>
  <si>
    <t>Alfred Wegener Inst Polar &amp; Marine Res, Postfach 12 01 61, D-27515 Bremerhaven, Germany.</t>
  </si>
  <si>
    <t>hpoertner@awi-bremerhaven.de</t>
  </si>
  <si>
    <t>Pörtner, Hans-O./K-9429-2016; Pörtner, Hans-O./ISU-9397-2023</t>
  </si>
  <si>
    <t>Pörtner, Hans-O./0000-0001-6535-6575;</t>
  </si>
  <si>
    <t>ELSEVIER SCIENCE INC</t>
  </si>
  <si>
    <t>STE 800, 230 PARK AVE, NEW YORK, NY 10169 USA</t>
  </si>
  <si>
    <t>1095-6433</t>
  </si>
  <si>
    <t>1531-4332</t>
  </si>
  <si>
    <t>COMP BIOCHEM PHYS A</t>
  </si>
  <si>
    <t>Comp. Biochem. Physiol. A-Mol. Integr. Physiol.</t>
  </si>
  <si>
    <t>10.1016/S1095-6433(99)00105-1</t>
  </si>
  <si>
    <t>Biochemistry &amp; Molecular Biology; Physiology; Zoology</t>
  </si>
  <si>
    <t>258AD</t>
  </si>
  <si>
    <t>WOS:000083815100010</t>
  </si>
  <si>
    <t>Metcalf, VJ; Brennan, SO; George, PM</t>
  </si>
  <si>
    <t>The Antarctic toothfish (Dissostichus mawsoni) lacks plasma albumin and utilises high density lipoprotein as its major palmitate binding protein</t>
  </si>
  <si>
    <t>albumin; antarctic toothfish; Apo-AI; Apo-AIV; fatty acid; high density lipoprotein (HDL); palmitate; protein sequence</t>
  </si>
  <si>
    <t>APOLIPOPROTEIN-A-I; TISSUE EXPRESSION; CDNA SEQUENCE; ANTIFREEZE GLYCOPEPTIDES; MOLECULAR EVOLUTION; NOTOTHENIOID FISHES; NUCLEOTIDE-SEQUENCE; SERUM-LIPOPROTEINS; RAINBOW-TROUT; MESSENGER-RNA</t>
  </si>
  <si>
    <t>Plasma from the Antarctic toothfish, Dissostichus mawsoni, a member of the advanced teleost Nototheniidae family, was analysed. Agarose gel electrophoresis showed a major diffuse anionic protein that bound [C-14]palmitic acid but not Ni-63(2+), and two more cationic proteins that bound Ni-63(2+) but not palmitate. Oil Red O staining following cellulose acetate electrophoresis indicated that the palmitate binding protein was a lipoprotein. Two-dimensional electrophoresis showed that this palmitate binding band was composed of three proteins with M-r of 11, 30, and 42 kDa, without any trace of material at similar to 65 kDa, the mass of albumin. N-terminal sequencing of the palmitate binding band gave a major sequence of DAAQPSQELR-, indicating a high degree of homology to apolipoprotein A-I (apo-AI), the major apolipoprotein of high density lipoprotein (HDL). N-terminal sequencing of the major nickel binding band produced a sequence with no homology to albumin. When ultracentrifugation was used to isolate the lipoproteins from Antarctic toothfish plasma, the palmitate binding protein was found solely in the lipoprotein fraction. In competitive binding experiments, added human albumin did not prevent palmitate binding to toothfish HDL. In conclusion, there is no evidence for albumin in Antarctic toothfish plasma and HDL assumes the role of fatty acid transport. (C) 1999 Elsevier Science Inc. All rights reserved.</t>
  </si>
  <si>
    <t>Univ Otago, Christchurch Sch Med, Dept Pathol, Mol Pathol Lab, Christchurch, New Zealand</t>
  </si>
  <si>
    <t>University of Otago</t>
  </si>
  <si>
    <t>Metcalf, VJ (corresponding author), POB 4345, Christchurch, New Zealand.</t>
  </si>
  <si>
    <t>Metcalf, Victoria J/C-1933-2013; Brennan, Stephen/AAW-9929-2020; George, Peter M/A-1315-2013</t>
  </si>
  <si>
    <t>George, Peter M/0000-0001-9100-3466; Metcalf, Victoria/0000-0002-0833-7965</t>
  </si>
  <si>
    <t>10.1016/S0305-0491(99)00051-6</t>
  </si>
  <si>
    <t>239JF</t>
  </si>
  <si>
    <t>WOS:000082764400003</t>
  </si>
  <si>
    <t>Pyne, SJ</t>
  </si>
  <si>
    <t>Governing the frozen commons: The Antarctic regime and environmental protection.</t>
  </si>
  <si>
    <t>ENVIRONMENTAL HISTORY</t>
  </si>
  <si>
    <t>Arizona State Univ, Biol &amp; Soc Program, Tempe, AZ 85287 USA</t>
  </si>
  <si>
    <t>Arizona State University; Arizona State University-Tempe</t>
  </si>
  <si>
    <t>Pyne, SJ (corresponding author), Arizona State Univ, Biol &amp; Soc Program, Tempe, AZ 85287 USA.</t>
  </si>
  <si>
    <t>DURHAM</t>
  </si>
  <si>
    <t>701 VICKERS AVE, DURHAM, NC 27701-3147 USA</t>
  </si>
  <si>
    <t>1084-5453</t>
  </si>
  <si>
    <t>ENVIRON HIST</t>
  </si>
  <si>
    <t>Environ. Hist.</t>
  </si>
  <si>
    <t>10.2307/3985411</t>
  </si>
  <si>
    <t>Environmental Studies; History</t>
  </si>
  <si>
    <t>Social Science Citation Index (SSCI); Arts &amp; Humanities Citation Index (A&amp;HCI)</t>
  </si>
  <si>
    <t>Environmental Sciences &amp; Ecology; History</t>
  </si>
  <si>
    <t>293ZY</t>
  </si>
  <si>
    <t>WOS:000085886500014</t>
  </si>
  <si>
    <t>Potts, M</t>
  </si>
  <si>
    <t>Mechanisms of desiccation tolerance in cyanobacteria</t>
  </si>
  <si>
    <t>EUROPEAN JOURNAL OF PHYCOLOGY</t>
  </si>
  <si>
    <t>cyanobacteria; desiccation; nucleic acids; membranes; EPS; Nostoc</t>
  </si>
  <si>
    <t>NOSTOC-COMMUNE CYANOBACTERIA; ANTARCTIC COLD DESERT; SOLID-STATE NMR; WATER-STRESS; UTEX-584 CYANOBACTERIA; IMMOBILIZED CELLS; EXTREME CONDITIONS; NITROGEN-FIXATION; ESCHERICHIA-COLI; OSMOTIC-STRESS</t>
  </si>
  <si>
    <t>Drying of cells leads to damage resulting from crowding of cytoplasmic components, condensation of the nucleoid, increases in the T-m of membrane phase transitions, and imposition of stress upon cell walls. Prolonged desiccation leads to oxidation of proteins, DNA and membrane components through metal-dependent Fenton reactions, while Maillard reactions generate cross-linked products between the carbonyl groups of reducing sugars and the primary amines of nucleic acids and proteins. Although such damage restricts many organisms to aqueous environments, some, including many cyanobacteria, can tolerate the air-dried state for prolonged periods. Cyanobacteria in the Tintenstrich communities of exposed rock faces, Microcoleus and Lyngbya spp. in intertidal mats, chasmoendolithic Chroococcidiopsis spp. in the rocks of hot and cold deserts, and terrestrial epilithic crusts of Tolypothrix and Nostoc are examples that show a marked capacity to withstand the removal of their cellular water. For Nostoc commune, the mechanisms of desiccation tolerance reflect both simple and complex interactions at the structural, physiological and molecular levers.</t>
  </si>
  <si>
    <t>Virginia Polytech Inst &amp; State Univ, Dept Biochem, Blacksburg, VA 24061 USA; Virginia Polytech Inst &amp; State Univ, Fralin Biotechnol Ctr, Blacksburg, VA 24061 USA</t>
  </si>
  <si>
    <t>Virginia Polytechnic Institute &amp; State University; Virginia Polytechnic Institute &amp; State University</t>
  </si>
  <si>
    <t>Virginia Polytech Inst &amp; State Univ, Dept Biochem, Blacksburg, VA 24061 USA.</t>
  </si>
  <si>
    <t>geordie@vt.edu</t>
  </si>
  <si>
    <t>0967-0262</t>
  </si>
  <si>
    <t>1469-4433</t>
  </si>
  <si>
    <t>EUR J PHYCOL</t>
  </si>
  <si>
    <t>Eur. J. Phycol.</t>
  </si>
  <si>
    <t>10.1017/S0967026299002267</t>
  </si>
  <si>
    <t>Plant Sciences; Marine &amp; Freshwater Biology</t>
  </si>
  <si>
    <t>256XF</t>
  </si>
  <si>
    <t>WOS:000083751200001</t>
  </si>
  <si>
    <t>Ehling-Schulz, M; Scherer, S</t>
  </si>
  <si>
    <t>UV protection in cyanobacteria</t>
  </si>
  <si>
    <t>2D electrophoresis; antioxidants; cyanobacteria; DNA repair; extracellular polysaccharides; mycosporine-like amino acids; proteome; scytonemin; stress proteins; UV-A/UV-B photoprotection</t>
  </si>
  <si>
    <t>NOSTOC COMMUNE CYANOBACTERIA; ULTRAVIOLET-B RADIATION; INDUCIBLE DNA-REPAIR; II REACTION-CENTER; PHOTOSYSTEM-II; ANTARCTIC CYANOBACTERIA; ARABIDOPSIS-THALIANA; STRATOSPHERIC OZONE; WATER-STRESS; PHORMIDIUM-LAMINOSUM</t>
  </si>
  <si>
    <t>If the depletion of the stratospheric ozone shield continues, the influx of solar UV-B radiation (280-320 nm) will increase in the near future. In photosynthetic organisms there are several targets for the deleterious UV-B radiation, such as proteins, DNA and membranes. Cyanobacteria use three different types of strategies to counteract UV damage: (i) stress avoidance by gliding mechanisms, (ii) stress defence by synthesis of UV-absorbing compounds, antioxidants and extracellular polysaccharides, and (iii) repair mechanisms including DNA repair and resynthesis of UV-sensitive proteins. In the past, most studies concentrated on the physiological aspects of UV tolerance whereas the molecular basis of UV tolerance in cyanobacteria is poorly understood. We will summarize the effects of and responses to UV-B at the physiological and molecular levels and present data on the influence of UV-B irradiation on the proteome of the terrestrial cyanobacterium Nostoc commune. SDS-PAGE and high-resolution two-dimensional gel electrophoresis were used to analyse the influence of UV-B on the proteome of N. commune. The resolution of SDS-PAGE turned out to be far too low to monitor the UV acclimation process. In contrast to the latter technique, two-dimensional electrophoresis showed that the UV-B response is extremely complex, involving the induction and the repression of a large number of proteins.</t>
  </si>
  <si>
    <t>Tech Univ Munich, Inst Mikrobiol FML, D-85354 Freising Weihenstephan, Germany</t>
  </si>
  <si>
    <t>Technical University of Munich</t>
  </si>
  <si>
    <t>Tech Univ Munich, Inst Mikrobiol FML, Weihenstephaues Berg 3, D-85354 Freising Weihenstephan, Germany.</t>
  </si>
  <si>
    <t>Siegfried.Scherer@lrz.tum.de</t>
  </si>
  <si>
    <t>Ehling-Schulz, Monika/J-3592-2014; Scherer, Siegfried/I-1320-2013</t>
  </si>
  <si>
    <t>Ehling-Schulz, Monika/0000-0001-7384-0594; Scherer, Siegfried/0000-0002-0394-9890</t>
  </si>
  <si>
    <t>10.1017/S096702629900219X</t>
  </si>
  <si>
    <t>WOS:000083751200002</t>
  </si>
  <si>
    <t>Wynn-Williams, DD; Edwards, HGM; Garcia-Pichel, F</t>
  </si>
  <si>
    <t>Functional biomolecules of Antarctic stromatolitic and endolithic cyanobacterial communities</t>
  </si>
  <si>
    <t>Antarctic; cyanobacteria; endolithic; lichens; lithic; pigments; Raman; scytonemin; spectroscopy; ultraviolet</t>
  </si>
  <si>
    <t>ULTRAVIOLET-RADIATION; NOSTOC COMMUNE; SUNSCREEN ROLE; MICROBIAL MAT; PIGMENTS; LIGHT; SCYTONEMIN; LICHENS; DESERT; CAROTENOIDS</t>
  </si>
  <si>
    <t>For activity and survival in extreme terrestrial Antarctic habitats, lithobiontic cyanobacteria depend on key biomolecules for protection against environmental stress and for optimization of growth conditions. Their ability to synthesize such molecules is central to their pioneering characteristics and major role as primary producers in Antarctic desert habitats. Pigmentation is especially important in protecting them against enhanced UVB damage during stratospheric ozone depletion (the Ozone Hole) during the Antarctic spring and subsequent photoinhibition in the intense insolation of the summer. To be effective, especially for the screening of highly shade-adapted photosystems of cyanobacteria, protective pigments need to be located strategically. Antarctic lithic cyanobacterial communities are therefore stratified, as in soil biofilms of Alexander Island, the benthic stromatolitic mars of ice-covered hypersaline lakes in the McMurdo Dry Valleys, and the endolithic communities within translucent Beacon sandstone outcrops of Victoria Land. The protective pigments include scytonemin, carotenoids, anthroquinones and mycosporine-like amino acids. To detect and locate photoprotective pigments in situ in free-living cyanobacteria and cyanolichens from hot and cold desert habitats, we have used Fourier-transform Raman microspectroscopy. With appropriate power inputs for labile molecules, this high-precision, non-intrusive laser-based technique can not only identify biomolecules in their natural state but also locate them spatially within the habitat relative to the components of the community, which require protection In conjunction with direct and epifluorescence microscopy it provides a spatial and functional description of the protective strategy of a community. We present the unique Raman spectrum of scytonemin and use its primary and corroborative peaks to identify it within the plethora of other biochemical constituents of several natural cyanobacterial communities, including an Antarctic endolith. The remote-sensing aspect of this technique makes it suitable not only for spatial biochemical analysis of present and palaeontological Antarctic communities but also for analogous putative habitats on Mars.</t>
  </si>
  <si>
    <t>British Antarctic Survey, NERC, Cambridge CB3 0ET, England; Univ Bradford, Dept Chem &amp; Forens Sci, Bradford BD7 1DP, W Yorkshire, England; Max Planck Inst Marine Microbiol, D-28359 Bremen, Germany</t>
  </si>
  <si>
    <t>UK Research &amp; Innovation (UKRI); Natural Environment Research Council (NERC); NERC British Antarctic Survey; University of Bradford; Max Planck Society</t>
  </si>
  <si>
    <t>Wynn-Williams, DD (corresponding author), British Antarctic Survey, NERC, High Cross,Madingley Rd, Cambridge CB3 0ET, England.</t>
  </si>
  <si>
    <t>CAMBRIDGE UNIV PRESS</t>
  </si>
  <si>
    <t>40 WEST 20TH STREET, NEW YORK, NY 10011-4211 USA</t>
  </si>
  <si>
    <t>10.1080/09670269910001736442</t>
  </si>
  <si>
    <t>WOS:000083751200007</t>
  </si>
  <si>
    <t>Nedwell, DB</t>
  </si>
  <si>
    <t>Effect of low temperature on microbial growth: lowered affinity for substrates limits growth at low temperature</t>
  </si>
  <si>
    <t>FEMS MICROBIOLOGY ECOLOGY</t>
  </si>
  <si>
    <t>low temperature; specific affinity; thermal adaptation; membrane fluidity; global warming</t>
  </si>
  <si>
    <t>MEMBRANE-LIPIDS; PSYCHROPHILIC BACTERIUM; PHASE-TRANSITIONS; ROOT TEMPERATURE; ANTARCTIC WATERS; ESCHERICHIA-COLI; NITRATE; AMMONIUM; ADAPTATION; COMPETITION</t>
  </si>
  <si>
    <t>The effect of environmental temperature on the affinity of microorganisms for substrates is discussed in relation to measurements of affinity by either K-b values or specific affinity (a(A)). It can be shown for psychrophiles, mesophiles and thermophiles that when a(A) is used as the measure of affinity, affinity decreases consistently as temperature drops below the optimum temperature for growth. This effect may be because of stiffening of the lipids of the membrane below the temperature optimum, leading to decreased efficiency of transport proteins embedded in the membrane. The lower temperature limit for growth is. therefore, that temperature at which an organism is no longer able to supply the maintenance requirement of the growth rate-limiting nutrient because of loss of affinity for that substrate. This linking of temperature and affinity for substrates taken up by active transport (a temperature-modulated substrate affinity model) includes uptake of both organic and inorganic substrates. This effect of decreased substrate affinity at low temperature may have profound implications on the availability of substrates in the natural environment as environmental temperatures change. At temperatures below their optimum for growth microorganisms will become increasingly unable to sequester substrates from their environment because of lowered affinity: exacerbating the anyway near-starvation conditions in many natural environments. (C) 1999 Federation of European Microbiological Societies. Published by Elsevier Science B.V. All rights reserved.</t>
  </si>
  <si>
    <t>Univ Essex, Dept Sci Biol, Colchester CO4 3SQ, Essex, England</t>
  </si>
  <si>
    <t>University of Essex</t>
  </si>
  <si>
    <t>Univ Essex, Dept Sci Biol, Wivenhoe Pk, Colchester CO4 3SQ, Essex, England.</t>
  </si>
  <si>
    <t>nedwd@essex.ac.uk</t>
  </si>
  <si>
    <t>0168-6496</t>
  </si>
  <si>
    <t>1574-6941</t>
  </si>
  <si>
    <t>FEMS MICROBIOL ECOL</t>
  </si>
  <si>
    <t>FEMS Microbiol. Ecol.</t>
  </si>
  <si>
    <t>Microbiology</t>
  </si>
  <si>
    <t>246JJ</t>
  </si>
  <si>
    <t>WOS:000083160400001</t>
  </si>
  <si>
    <t>Shipp, S; Anderson, J; Domack, E</t>
  </si>
  <si>
    <t>Late Pleistocene-Holocene retreat of the West Antarctic Ice-Sheet system in the Ross Sea: Part 1 - Geophysical results</t>
  </si>
  <si>
    <t>GEOLOGICAL SOCIETY OF AMERICA BULLETIN</t>
  </si>
  <si>
    <t>STREAM-B; CONTINENTAL-SHELF; NORTH-ATLANTIC; BENEATH; TILL; SEDIMENTS; LAURENTIDE; MODEL; LEVEL; DEFORMATION</t>
  </si>
  <si>
    <t>In the 1994 1995, and 1998 austral field seasons, geophysical research efforts in the Ross Sea focused on acquiring a high-resolution database designed to permit (1) reconstruction of the maximum extent and configuration of the ice sheet during the Last Glacial Maximum (i.e., oxygen isotope stage 2); (2) reconstruction of conditions at the base of the ice sheet; and (3) assessment of the relative retreat history of the ice sheet following the Last Glacial Maximum. Five seismic facies are distinguished on the basis of external geometry, relationships among features, bounding surface amplitude, intensity of internal acoustic signature, and geometry of internal reflectors. Seismic facies 1 is a transparent draping unit correlated to diatomaceous mud, interpreted as being deposited under open-marine conditions. Seismic facies 2 and 3 are comprised of units displaying subdued massive internal signatures with smooth lower bounding surfaces and hummocky upper surfaces characterized by glacial lineations. These units are interpreted to be grounding-zone proximal deposits overridden by the expanded ice sheet. Seismic facies 3 may be a deforming-till unit. Seismic facies 4a is characterized by an internally massive to chaotic signature, an erosional, often flat, lower surface, and a hummocky upper surface displaying glacial lineations. This unit is interpreted to be tin and is divided into deposits associated with the most recent glacial expansion (4a) and with an earlier (pre-Last Glacial Maximum) expansion (4b). Seismic facies 5 is an acoustically laminated, ponded, and draping deposit interpreted to contain proglacial and sub-ice-shelf materials deposited continuously since the last interglacial period. The associations of these units provide context for the interpretation of the ice-edge maximum position, conditions at the base of the ice sheet, and the relative retreat history of the region. There is compelling evidence for a much-espanded ice sheet in the Ross Sea during the Last Glacial Maximum. In the western Ross Sea, the maximum grounding position is marked by an isolated grounding-zone wedge, and placed in the vicinity of Coulman Island, approximately 150 km from the continental-shelf edge. In the central Ross Sea, the maximum grounding position is close to the continental-shelf break, based primarily on the presence of an extensive 60-m-thick sheet-like deposit with a fluted upper surface. Streaming ice may have occupied bathymetric lows on the continental shelf, as suggested by (1) the configuration of bathymetry; (2) the presence of glacially eroded troughs; (3) the concentration of sediment (interpreted to be deforming till) within the middle to outer shelf reaches of the troughs; and (4) the fluted nature of the upper surface. Absolute rates of streaming ice now relative to inter-ice-stream areas are not implied. The western Ross Sea continental-shelf deposits record the retreat history of ice derived predominantly from the East Antarctic Ice Sheet and glaciers of the Transantarctic Mountains. Ice flow on the continental shelf is interpreted to have remained fixed in position, restricted by the walls of the troughs. On the inner shelf of the western Ross Sea, the ice flowed over and eroded lithified sedimentary strata. Slower-moving ice occupied flat-topped banks, ri single grounding-zone wedge occurs on the western Ross Sea central shelf; no substantial deposits are observed on the inner continental shelf. This lack of grounding-zone features reflects a restricted sediment supply and a relatively steady, rapid retreat of the ice sheet. During retreat, ice now acted independently in each major trough and on the bank tops. Ice retreated from Victoria Land Basin-Drygalski Trough before it retreated from JOIDES Basin. Ice remained on the bank tops, shedding material into the abandoned troughs. Grounded ice in the central Ross Sea was derived predominantly from an expanded West Antarctic Ice Sheet. The ice sheet remained grounded on the continental-shelf edge after retreat of ice from the western Ross Sea. Expanded ice eroded the inner shelf and deposited sheets of till on the central and outer shelf. Ice-stream drainage shifted laterally, as recorded by rounded, laterally accreting ridges that separate bathymetric troughs. The central Ross Sea is the repository for larger volumes of sediment, derived from ice flow across basins of relatively thick, unlithified sedimentary deposits. Tap till sheets mark grounding-zone positions in the central Ross Sea, reflecting the higher sediment supply and a stepped deglaciation. Ice remained grounded on the Pennell Bank to the west; a series of moraines marks the retreat of ice across the bank. Mega-scale glacial lineations and other streamlined, subglacial geomorphic features occur across the continental shelf, primarily within the troughs. The Lineations substantiate the maximum reconstruction and support the interpretation of a deforming substrate beneath the outer reaches of the expanded ice sheet. This deforming substrate may have contributed to the onset of deglaciation. Features associated with meltwater are rare or absent, suggesting that basal melt cr;ater played a minor role in retreat of the ice sheet.</t>
  </si>
  <si>
    <t>Rice Univ, Dept Geol &amp; Geophys, Houston, TX 77005 USA; Hamilton Coll, Dept Geol, Clinton, NY 13323 USA</t>
  </si>
  <si>
    <t>Rice University; Hamilton College</t>
  </si>
  <si>
    <t>Rice Univ, Dept Geol &amp; Geophys, POB 1892,6100 S Main, Houston, TX 77005 USA.</t>
  </si>
  <si>
    <t>shippst@ruf.rice.edu</t>
  </si>
  <si>
    <t>Anderson, John/B-1011-2012</t>
  </si>
  <si>
    <t>0016-7606</t>
  </si>
  <si>
    <t>1943-2674</t>
  </si>
  <si>
    <t>GEOL SOC AM BULL</t>
  </si>
  <si>
    <t>Geol. Soc. Am. Bull.</t>
  </si>
  <si>
    <t>10.1130/0016-7606(1999)111&lt;1486:LPHROT&gt;2.3.CO;2</t>
  </si>
  <si>
    <t>241GC</t>
  </si>
  <si>
    <t>WOS:000082873400005</t>
  </si>
  <si>
    <t>Domack, EW; Jacobson, EA; Shipp, S; Anderson, JB</t>
  </si>
  <si>
    <t>Late Pleistocene-Holocene retreat of the West Antarctic Ice-Sheet system in the Ross Sea: Part 2 - Sedimentologic and stratigraphic signature</t>
  </si>
  <si>
    <t>CONTINENTAL-SHELF; GLACIAL HISTORY; EAST ANTARCTICA; LATE WISCONSIN; SEDIMENTATION; ADVANCE; RATES; RADIOCARBON; PENINSULA; CORES</t>
  </si>
  <si>
    <t>Sedimentologic, geotechnical, geochemical, and accelerator mass spectrometer (AMS) radiocarbon data from two marine geologic cruises in the Ross Sea have allowed us to constrain facies relationships and temporal changes in the West Antarctic Ice Sheet. The selection of core sites was facilitated by the use of multibeam bottom imagery and a good quality (CHIRP) subbottom reflection system, A complex but consistent succession of facies documents a number of environments from subglacial to open marine. Massive, mud-rich diamictoris have low water contents, contain (in places) a calcareous microfossil assemblage, show minimal textural variation, and contain low and uniform total organic carbon values, This reflects a subglacial setting. This unit passes upward into a stratified, thin, granulated facies consisting of pelletized, sandy, muddy gravel that is loosely compacted and contains a variable water content and concentrated horizons of pebble-sized clasts, This facies reflects the lift-off zone or thin mater film between the basal debris and sea floor, Overlying this unit are silty clays that contain a well-sorted, very fine-grained sand component. There are no coarse grains within this unit. This facies is, in part, laminated and reflects deposition beneath an ice shelf, near and away from the grounding-line zone, The ice-shelf facies passes upward into a siliceous mud and ooze unit that represents deposition in an open-marine setting. A sandy, volcaniclastic-rich subfacies marks the transition from ice shelf to open-marine environments found at the calving line. The 86 AMS radiocarbon dates on organic matter provide an accurate chronology for 19 cores. Ice-shelf conditions mere established in the outer Drygalski Trough by 11+/-0.25 ka and perhaps earlier. This transition took place in the JOIDES Basin by 10-8 ka, The calving front of the Ross Ice Shelf passed over the Drygalski Trough at 74 degrees S by 9.5 +/- 0.25 ka, The timing of deglaciation in the Ross Sea calls into question current models for the contribution of Antarctic glacial ice to Holocene sea-level rise and suggests that recession was relatively gradual and more closely aligned with Northern Hemisphere deglaciation and its associated eustatic pulse.</t>
  </si>
  <si>
    <t>Hamilton Coll, Dept Geol, Clinton, NY 13323 USA; Rice Univ, Dept Geol &amp; Geophys, Houston, TX 77251 USA</t>
  </si>
  <si>
    <t>Hamilton College; Rice University</t>
  </si>
  <si>
    <t>Domack, EW (corresponding author), Hamilton Coll, Dept Geol, Clinton, NY 13323 USA.</t>
  </si>
  <si>
    <t>ASSOC ENGINEERING GEOLOGISTS GEOLOGICAL SOCIETY AMER</t>
  </si>
  <si>
    <t>COLLEGE STN</t>
  </si>
  <si>
    <t>TEXAS A &amp; M UNIV, DEPT GEOLOGY &amp; GEOPHYSICS, COLLEGE STN, TX 77843-3115 USA</t>
  </si>
  <si>
    <t>10.1130/0016-7606(1999)111&lt;1517:LPHROT&gt;2.3.CO;2</t>
  </si>
  <si>
    <t>WOS:000082873400006</t>
  </si>
  <si>
    <t>Wilch, TI; McIntosh, WC; Dunbar, NW</t>
  </si>
  <si>
    <t>Late Quaternary volcanic activity in Marie Byrd Land: Potential 40Ar/39Ar-dated time horizons in West Antarctic ice and marine cores</t>
  </si>
  <si>
    <t>AR-40-AR-39 LASER PROBE; TEPHRA LAYERS; SHEET; CALIBRATION; STABILITY; STANDARD; BENEATH; GLASS; RANGE; ROCKS</t>
  </si>
  <si>
    <t>Late Quaternary volcanic activity at three major alkaline composite volcanoes in Marie Byrd Land, West Antarctica, is dominated by ex:plosive eruptions, many capable of depositing ash layers as regional time-stratigraphic horizons in the West Antarctic Ice Sheet and in Southern Ocean marine sediments. A total of 20 eruptions at Mount Berlin, Mount Takahe, and Mount Siple are recorded in lava and welded and nonwelded pyroclastic fall deposits, mostly peralkaline trachyte in composition. The eruptions, dated by the 40Ar/39Ar laser-fusion and furnace step-heating methods, range in ape from 571 to 8.2 ka. Tephra from these 40Ar/39Ar-dated Marie Byrd Land eruptions are identified by geochemical fingerprinting in the 1968 Byrd Station ice core. The 74 ka ice-core record contained abundant coarse ash layers, with model ice-flow ages ranging from 7.5 to 40 ka, all of which were previously geochemically correlated to the Mount Takahe volcano. We identify a one-to-one geochemical and age correlation of the youngest (ca. 7.5 ka) tephra layer in the Byrd ice core to an 8.2 +/- 5.4 ka (2 sigma uncertainty) pyroclastic deposit at Mount Takahe, We infer that the 20-30 ka tephra layers in the Byrd ice core actually were erupted from Mount Berlin, on the basis of age and geochemical similarities. If products of these youngest, as wed as the older 40Ar/39Ar-dated eruptions are identified by geochemical fingerprinting in future ice and marine cores, they will provide the cores with independently dated time horizons. More than 12 40Ar/39Ar-dated tephra layers, exposed in bare ice on the summit ice cap of Mount Moulton, 30 km from their inferred source at Mount Berlin, range in age from 492 to 15 ka. These englacial tephra layers provide a minimum age of 492 ka for the oldest isotopically dated ice in West Antarctica This well-dated section of locally derived glacial ice contains a potential horizontal ice core record of paleoclimate that extends back through several glacial-interglacial cycles. The coarse grain size and density of the englacial tephra (mean diameters 17-18 mm, densities 530-780 kg/m(3)), combined with their distance from source, indicate derivation from highly explosive Plinian eruptions of Mount Berlin. Late Quaternary volcanic activity at three major alkaline composite volcanoes in Marie Byrd Land, West Antarctica, is dominated by ex:plosive eruptions, many capable of depositing ash layers as regional time-stratigraphic horizons in the West Antarctic Ice Sheet and in Southern Ocean marine sediments. A total of 20 eruptions at Mount Berlin, Mount Takahe, and Mount Siple are recorded in lava and welded and nonwelded pyroclastic fall deposits, mostly peralkaline trachyte in composition. The eruptions, dated by the 40Ar/39Ar laser-fusion and furnace step-heating methods, range in ape from 571 to 8.2 ka. Tephra from these 40Ar/39Ar-dated Marie Byrd Land eruptions are identified by geochemical fingerprinting in the 1968 Byrd Station ice core. The 74 ka ice-core record contained abundant coarse ash layers, with model ice-flow ages ranging from 7.5 to 40 ka, all of which were previously geochemically correlated to the Mount Takahe volcano. We identify a one-to-one geochemical and age correlation of the youngest (ca. 7.5 ka) tephra layer in the Byrd ice core to an 8.2 +/- 5.4 ka (2 sigma uncertainty) pyroclastic deposit at Mount Takahe, We infer that the 20-30 ka tephra layers in the Byrd ice core actually were erupted from Mount Berlin, on the basis of age and geochemical similarities. If products of these youngest, as wed as the older 40Ar/39Ar-dated eruptions are identified by geochemical fingerprinting in future ice and marine cores, they will provide the cores with independently dated time horizons. More than 12 40Ar/39Ar-dated tephra layers, exposed in bare ice on the summit ice cap of Mount Moulton, 30 km from their inferred source at Mount Berlin, range in age from 492 to 15 ka. These englacial tephra layers provide a minimum age of 492 ka for the oldest isotopically dated ice in West Antarctica This well-dated section of locally derived glacial ice contains a potential horizontal ice core record of paleoclimate that extends back through several glacial-interglacial cycles. The coarse grain size and density of the englacial tephra (mean diameters 17-18 mm, densities 530-780 kg/m(3)), combined with their distance from source, indicate derivation from highly explosive Plinian eruptions of Mount Berlin. Late Quaternary volcanic activity at three major alkaline composite volcanoes in Marie Byrd Land, West Antarctica, is dominated by ex:plosive eruptions, many capable of depositing ash layers as regional time-stratigraphic horizons in the West Antarctic Ice Sheet and in Southern Ocean marine sediments. A total of 20 eruptions at Mount Berlin, Mount Takahe, and Mount Siple are recorded in lava and welded and nonwelded pyroclastic fall deposits, mostly peralkaline trachyte in composition. The eruptions, dated by the 40Ar/39Ar laser-fusion and furnace step-heating methods, range in ape from 571 to 8.2 ka. Tephra from these 40Ar/39Ar-dated Marie Byrd Land eruptions are identified by geochemical fingerprinting in the 1968 Byrd Station ice core. The 74 ka ice-core record contained abundant coarse ash layers, with model ice-flow ages ranging from 7.5 to 40 ka, all of which were previously geochemically correlated to the Mount Takahe volcano. We identify a one-to-one geochemical and age correlation of the youngest (ca. 7.5 ka) tephra layer in the Byrd ice core to an 8.2 +/- 5.4 ka (2 sigma uncertainty) pyroclastic deposit at Mount Takahe, We infer that the 20-30 ka tephra layers in the Byrd ice core actually were erupted from Mount Berlin, on the basis of age and geochemical similarities. If products of these youngest, as wed as the older 40Ar/39Ar-dated eruptions are identified by geochemical fingerprinting in future ice and marine cores, they will provide the cores with independently dated time horizons. More than 12 40Ar/39Ar-dated tephra layers, exposed in bare ice on the summit ice cap of Mount Moulton, 30 km from their inferred source at Mount Berlin, range in age from 492 to 15 ka. These englacial tephra layers provide a minimum age of 492 ka for the oldest isotopically dated ice in West Antarctica This well-dated section of locally derived glacial ice contains a potential horizontal ice core record of paleoclimate that extends back through several glacial-interglacial cycles. The coarse grain size and density of the englacial tephra (mean diameters 17-18 mm, densities 530-780 kg/m(3)), combined with their distance from source, indicate derivation from highly explosive Plinian eruptions of Mount Berlin.</t>
  </si>
  <si>
    <t>Albion Coll, Dept Geol Sci, Albion, MI 49224 USA; New Mexico Inst Min &amp; Technol, Dept Earth &amp; Environm Sci, Socorro, NM 87801 USA; New Mexico Bur Mines &amp; Mineral Resources, Socorro, NM 87801 USA</t>
  </si>
  <si>
    <t>Albion College; New Mexico Institute of Mining Technology</t>
  </si>
  <si>
    <t>Albion Coll, Dept Geol Sci, Albion, MI 49224 USA.</t>
  </si>
  <si>
    <t>twilch@albion.edu</t>
  </si>
  <si>
    <t>Dunbar, Nelia W./HZL-8693-2023</t>
  </si>
  <si>
    <t>Dunbar, Nelia W./0000-0002-5181-937X</t>
  </si>
  <si>
    <t>10.1130/0016-7606(1999)111&lt;1563:LQVAIM&gt;2.3.CO;2</t>
  </si>
  <si>
    <t>WOS:000082873400009</t>
  </si>
  <si>
    <t>Bird, RT; Tebbens, SF; Kleinrock, MC; Naar, DF</t>
  </si>
  <si>
    <t>Episodic triple-junction migration by rift propagation and microplates</t>
  </si>
  <si>
    <t>JUAN-FERNANDEZ MICROPLATE; TECTONIC EVOLUTION; CENTRAL PACIFIC; PLATE TECTONICS; INDIAN-OCEAN; ROTATION; REORGANIZATION; EXTENSION; STABILITY; BOUNDARY</t>
  </si>
  <si>
    <t>We describe a model for episodic, open-ocean triple-junction migration based on observations of actual triple-junction evolutions. Migration progresses by repeated episodes of rift propagation, microplate formation, and microplate accretion to an adjacent, larger plate. These episodes may be highly variable in space and time depending on triple-junction geometry, velocity triangle, and other factors affecting local thermal and rheological conditions. Resulting tectonic features may include an abandoned transform fault, straight and potentially curving pseudofaults, sheared and potentially rotated abyssal-hill fabric, and a paleomicroplate with no associated failed rift. This model, developed mainly from the evolution of the Pacific-Antarctic-Nazca triple junction, may be relevant for other types of triple junctions such as the Bouvet and Azores triple junctions and ridge-ridge-ridge triple junctions in the Indian and Pacific Oceans. Episodic migration is found to occur even when the triple junction is kinematically stable. This model highlights the difference between predicted kinematic stability of triple junctions and observations of their true tectonic history.</t>
  </si>
  <si>
    <t>Univ Western Australia, Dept Geol &amp; Geophys, Tecton Special Res Ctr, Nedlands, WA 6907, Australia; Univ S Florida, Dept Marine Sci, St Petersburg, FL 33701 USA; Vanderbilt Univ, Dept Geol, Nashville, TN 37235 USA</t>
  </si>
  <si>
    <t>University of Western Australia; State University System of Florida; University of South Florida; Vanderbilt University</t>
  </si>
  <si>
    <t>Bird, RT (corresponding author), Univ Western Australia, Dept Geol &amp; Geophys, Tecton Special Res Ctr, Nedlands, WA 6907, Australia.</t>
  </si>
  <si>
    <t>Tebbens, Sarah/0000-0002-1785-3750</t>
  </si>
  <si>
    <t>10.1130/0091-7613(1999)027&lt;0911:ETJMBR&gt;2.3.CO;2</t>
  </si>
  <si>
    <t>241GB</t>
  </si>
  <si>
    <t>WOS:000082873300012</t>
  </si>
  <si>
    <t>Schneider, C</t>
  </si>
  <si>
    <t>Energy balance estimates during the summer season of glaciers of the Antarctic Peninsula</t>
  </si>
  <si>
    <t>GLOBAL AND PLANETARY CHANGE</t>
  </si>
  <si>
    <t>International Symposium on Glaciers of the Southern Hemisphere</t>
  </si>
  <si>
    <t>JUL 07-09, 1997</t>
  </si>
  <si>
    <t>MELBOURNE, AUSTRALIA</t>
  </si>
  <si>
    <t>Antarctic peninsula; glaciers; climate change</t>
  </si>
  <si>
    <t>GREENLAND ICE-SHEET; SURFACE; SHELF; SNOW; TEMPERATURE; VARIABILITY</t>
  </si>
  <si>
    <t>Two small glaciers in Marguerite Bay on the west coast of the Antarctic Peninsula were chosen to monitor the accumulation and ablation pattern of the snow cover and the reaction of the glacial system in respect with global change. Both glaciers are located at 68 degrees 08'S and 67 degrees 06'W in the vicinity of the Argentine research base 'San Martin'. McClary Glacier is a short valley glacier with an accumulation area not extending higher than 600 m asl. Its short snout joins the snout of Northeast Glacier to form an ice-cliff to the sea. Northeast Glacier is separated from McClary Glacier by a mountain ridge and is fed by a large ice-fall coming down from the plateau of the Antarctic Peninsula at 1500 m asl. As the topography of the glaciers in terms of accumulation area, length and surface elevation differs widely it is assumed that the glaciers react differently to climate variations. However the response time of these systems is believed to be of the same order of magnitude as the anticipated climatic variability. Therefore measures were taken to monitor the seasonal development of the snow cover on the lower parts of the glaciers in order to detect changes at an early stage. During the field campaign in the Austral summer 1994/1995 micro-meteorological measurements were carried out with automatic weather stations (AWS) at three locations on the glaciers. More than 40 snow pits were dug during the summer season to obtain data from the snow cover. Data was sampled on snow temperature variations, water equivalent, liquid water content, stratification of the snow cover, crystal types and crystal sizes. Furthermore the accumulation during the whole year from March 1994 to February 1995 was measured with stakes placed on the glaciers. The data from the AWS was used to compute energy available for ablation. This correlated well (r = 0.9) with the changes observed in the snow pits. Turbulent heat fluxes account for 55% of the summer-time energy budget at the surface of the snow cover. Sensible heat is the dominant energy source for ablation during the summer. The equilibrium line was estimated between sea-level and 110 m asl. It is assumed that further warming will cause the development of an ablation zone on the two glaciers. (C) 1999 Elsevier Science B.V. All rights reserved.</t>
  </si>
  <si>
    <t>Univ Freiburg, Dept Phys Geog, D-79085 Freiburg, Germany</t>
  </si>
  <si>
    <t>University of Freiburg</t>
  </si>
  <si>
    <t>Univ Freiburg, Dept Phys Geog, Werderring 4, D-79085 Freiburg, Germany.</t>
  </si>
  <si>
    <t>chri@ipg.uni-freiburg.de</t>
  </si>
  <si>
    <t>Schneider, Christoph/V-2150-2017</t>
  </si>
  <si>
    <t>Schneider, Christoph/0000-0002-9914-3217</t>
  </si>
  <si>
    <t>0921-8181</t>
  </si>
  <si>
    <t>1872-6364</t>
  </si>
  <si>
    <t>GLOBAL PLANET CHANGE</t>
  </si>
  <si>
    <t>Glob. Planet. Change</t>
  </si>
  <si>
    <t>1-4</t>
  </si>
  <si>
    <t>10.1016/S0921-8181(99)00030-2</t>
  </si>
  <si>
    <t>Geography, Physical; Geosciences, Multidisciplinary</t>
  </si>
  <si>
    <t>Physical Geography; Geology</t>
  </si>
  <si>
    <t>269EK</t>
  </si>
  <si>
    <t>WOS:000084463600011</t>
  </si>
  <si>
    <t>Morris, EM</t>
  </si>
  <si>
    <t>Surface ablation rates on Moraine Corrie Glacier, Antarctica</t>
  </si>
  <si>
    <t>surface ablation rates; Moraine Corrie Glacier; Fossil Bluff</t>
  </si>
  <si>
    <t>PENINSULA</t>
  </si>
  <si>
    <t>Moraine Corrie Glacier lies close to the UK summer station Fossil Bluff where meteorological measurements have been taken intermittently since 1961. The elevation of the glacier surface has been measured along a I-km transect in 1972, 1986, 1993 and 1995. Between 1986 and 1995, there has been significant melting, correlated to increased air temperatures at Fossil Bluff. From the elevation measurements the ablation sensitivity of Moraine Corrie Glacier has been estimated to be 33 +/- 8 mm w.e./degree-day, equivalent to about 1.3 +/- 0.3 m w.e. a(-1) K-1. This is considerably greater than the estimated sensitivity of 0.23 m w.e, a(-1) K-1 used by Drewry and Morris [Drewry, D.J., Morris, E.M., 1992. The response of large ice sheets to climatic change. Philos. Trans. R. Sec. London, Ser. B 338, 235-242] to calculate the contribution to sea-level rise from ablation of Antarctic Peninsula glaciers. Their value of 0.012 mm a(-1) K-1 should therefore be revised upwards. (C) 1999 Elsevier Science B.V. All rights reserved.</t>
  </si>
  <si>
    <t>Morris, EM (corresponding author), British Antarctic Survey, High Cross,Madingley Rd, Cambridge CB3 0ET, England.</t>
  </si>
  <si>
    <t>Morris, Elizabeth M/A-6081-2012</t>
  </si>
  <si>
    <t>10.1016/S0921-8181(99)00039-9</t>
  </si>
  <si>
    <t>WOS:000084463600020</t>
  </si>
  <si>
    <t>Hatfield, EMC; Murray, AWA</t>
  </si>
  <si>
    <t>Objective assessment of maturity in the Patagonian squid Loligo gahi (Cephalopoda: Loliginidae) from Falkland Islands waters</t>
  </si>
  <si>
    <t>ICES JOURNAL OF MARINE SCIENCE</t>
  </si>
  <si>
    <t>reproduction; maturity scales; multivariate analysis; Loligo gahi; cephalopods</t>
  </si>
  <si>
    <t>FORBESI CEPHALOPODA; LIFE-HISTORY; REPRODUCTIVE STRATEGIES; SEXUAL MATURITY; GROWTH; DORBIGNY; VULGARIS; RECRUITMENT; PEALEI</t>
  </si>
  <si>
    <t>An objective assessment of maturity in the loliginid squid Loligo gahi was tested using a method developed for L. pealeii utilizing principal component and discriminant analyses. Samples were taken from both seasons of the commercial fishery in the Falkland Islands (prosecuted south of 51 degrees 20'S) in 1994 and 1995. In addition, research samples were taken in January, June, and November, outside the fishing seasons, to provide individuals of a greater range of size and maturity. The method, using a combination of indices of somatic and gonad lengths and scoring abundance of eggs and spermatophores in females and males, respectively, proved to be successful both in a research context, when variables can be measured to a high degree of precision, and in a fisheries context where less precision is practicable. The method also detected anomalies in the maturity status of squid chat might have been overlooked in a more subjective assessment, corroborating the accumulating evidence for batch-spawning in loliginid squid. Four stages of maturity were recognized for female squid and three for male squid. (C) 1999 International Council for the Exploration of the Sea.</t>
  </si>
  <si>
    <t>Hatfield, EMC (corresponding author), Pfleger Inst Environm Res, 1400 N Pacific St, Oceanside, CA 92054 USA.</t>
  </si>
  <si>
    <t>ACADEMIC PRESS LTD</t>
  </si>
  <si>
    <t>1054-3139</t>
  </si>
  <si>
    <t>ICES J MAR SCI</t>
  </si>
  <si>
    <t>ICES J. Mar. Sci.</t>
  </si>
  <si>
    <t>10.1006/jmsc.1999.0514</t>
  </si>
  <si>
    <t>Fisheries; Marine &amp; Freshwater Biology; Oceanography</t>
  </si>
  <si>
    <t>256YN</t>
  </si>
  <si>
    <t>WOS:000083754200016</t>
  </si>
  <si>
    <t>Harold, JM; Bigg, GR; Turner, J</t>
  </si>
  <si>
    <t>Mesocyclone activity over the Northeast Atlantic. Part 2: An investigation of causal mechanisms</t>
  </si>
  <si>
    <t>INTERNATIONAL JOURNAL OF CLIMATOLOGY</t>
  </si>
  <si>
    <t>polar mesocyclones; Northeast Atlantic</t>
  </si>
  <si>
    <t>POLAR</t>
  </si>
  <si>
    <t>Causal mechanisms of mesocyclone and synoptic cyclone characteristics over the Northeast Atlantic and Nordic Seas are investigated using a 2-year database compiled from infrared satellite imagery. A strong seasonality is found, with peak activity in winter and a minimum in spring. A distinct interannual variability is also found. Smaller mesocyclones (&lt;400 km diameter) were found to be strongly linked to the shallow baroclinic zone along the sea ice edge. Midsize mesocyclones, 200-600 km diameter, are often associated with cold air outbreaks following the passage of synoptic systems. A chart analysis confirms this, showing that convective instability is the major mechanism for the origin of these storms. Although the temporal coverage of the database is short, some support for this is found in comparison with teleconnection patterns and also potential reasons for the large interannual variability. Copyright (C) 1999 Royal Meteorological Society.</t>
  </si>
  <si>
    <t>Univ E Anglia, Sch Environm Sci, Norwich NR4 7TJ, Norfolk, England; British Antarctic Survey, Cambridge CB3 0ET, England</t>
  </si>
  <si>
    <t>University of East Anglia; UK Research &amp; Innovation (UKRI); Natural Environment Research Council (NERC); NERC British Antarctic Survey</t>
  </si>
  <si>
    <t>Harold, JM (corresponding author), Univ E Anglia, Sch Environm Sci, Norwich NR4 7TJ, Norfolk, England.</t>
  </si>
  <si>
    <t>Bigg, Grant/GXW-2219-2022</t>
  </si>
  <si>
    <t>JOHN WILEY &amp; SONS LTD</t>
  </si>
  <si>
    <t>W SUSSEX</t>
  </si>
  <si>
    <t>BAFFINS LANE CHICHESTER, W SUSSEX PO19 1UD, ENGLAND</t>
  </si>
  <si>
    <t>0899-8418</t>
  </si>
  <si>
    <t>INT J CLIMATOL</t>
  </si>
  <si>
    <t>Int. J. Climatol.</t>
  </si>
  <si>
    <t>10.1002/(SICI)1097-0088(199910)19:12&lt;1283::AID-JOC420&gt;3.0.CO;2-T</t>
  </si>
  <si>
    <t>246PQ</t>
  </si>
  <si>
    <t>WOS:000083173200001</t>
  </si>
  <si>
    <t>González-Solís, J; Wendeln, H; Becker, PH</t>
  </si>
  <si>
    <t>Within and between season nest-site and mate fidelity in Common Terns (Sterna hirundo)</t>
  </si>
  <si>
    <t>JOURNAL FUR ORNITHOLOGIE</t>
  </si>
  <si>
    <t>age; breeding failure; divorce; nest dispersal; renesting</t>
  </si>
  <si>
    <t>BREEDING SUCCESS; PARENTAL AGE; PREDATION; GULL; DIVORCE; CONSEQUENCES; RETENTION; DISPERSAL; TENACITY; QUALITY</t>
  </si>
  <si>
    <t>We studied nest-site and mate fidelity in renesting Common Terns (Sterna hirundo), from 1993 to 1997, in a Common Tern colony breeding on six small artificial islands in the harbour area in Wilhelmshaven (German North Sea coast). Implanted transponders made possible individual recognition of the adults throughout their lifetime. We compared intra-season rates of nest-site and mate fidelity with between-year rates. Intra-season divorce was never observed. On the other hand, inter-year divorce was estimated at about 25%, suggesting that the costs of intra-season divorce are higher or opportunities for divorce are lower than between years. For 75% of 26 pairs that renested within the same season, the distance moved was less than 4.3 m. For 75% of 57 faithful pairs between two consecutive seasons, the distance moved was less than 1.25 m. Dispersal distances between and within years did not differ significantly but were clearly shorter than a paired random distribution of nests. Most of the birds changed the nest-site either when renesting or between years, but most of the new scrapes can be considered as lying within the original territory. Thus, failure of the first breeding attempt increased neither divorce nor nest-site dispersal as compared with between-year rates. We also studied the influence of parental age and the date of breeding failure on distances moved in renesting birds. Late renesting pairs did not change the nest-site. A multiple regression analysis revealed that the longer the duration of the first breeding attempt and the older the pair, the shorter the nest dispersal distance.</t>
  </si>
  <si>
    <t>González-Solís, J (corresponding author), British Antarctic Survey, Marine Life Sci Div, High Cross,Madingley Rd, Cambridge CB3 0ET, England.</t>
  </si>
  <si>
    <t>BLACKWELL WISSENSCHAFTS-VERLAG GMBH</t>
  </si>
  <si>
    <t>BERLIN</t>
  </si>
  <si>
    <t>KURFURSTENDAMM 57, D-10707 BERLIN, GERMANY</t>
  </si>
  <si>
    <t>0021-8375</t>
  </si>
  <si>
    <t>J ORNITHOL</t>
  </si>
  <si>
    <t>J. Ornithol.</t>
  </si>
  <si>
    <t>10.1007/BF01650993</t>
  </si>
  <si>
    <t>Ornithology</t>
  </si>
  <si>
    <t>262JC</t>
  </si>
  <si>
    <t>WOS:000084062700009</t>
  </si>
  <si>
    <t>Sokolov, S; Rintoul, SR</t>
  </si>
  <si>
    <t>Some remarks on interpolation of nonstationary oceanographic fields</t>
  </si>
  <si>
    <t>JOURNAL OF ATMOSPHERIC AND OCEANIC TECHNOLOGY</t>
  </si>
  <si>
    <t>METEOROLOGICAL OBJECTIVE ANALYSIS; MULTIQUADRIC INTERPOLATION; CROSS-VALIDATION; SPLINES; EQUATIONS</t>
  </si>
  <si>
    <t>The performance of four methods for interpolating anisotropic, spatially nonstationary fields is examined. The methods are optimal interpolation (OI, also known as objective analysis), spline interpolation, multiquadric-biharmonic method (MQ-B), and the inverse distance weighted method. The tests were performed using multiple realizations of random bivariate fields with known underlying statistics, as well as highly anisotropic and nonhomogeneous temperature and salinity fields across the Antarctic Circumpolar Current (ACC). The results of tests using homogeneous random fields show that all methods except the inverse distance method have similar performance in the accuracy. When the interpolated field is sampled adequately and data distributions are dense, the presence of spatial deviations of the field statistics from the field average will limit the interpolation skill of OI to be gained from an increase in data density. In contrast, interpolation methods such as spline and MQ-B, which adjust the frequency response characteristics so that the passband of the filter increases as the data spacing decreases, will account for such spatial variations and provide a more accurate interpolation. In the case of nonstationary and highly anisotropic processes, the most accurate interpolation analysis was obtained by spline interpolation and MQ-B. As a result of the nonstationary fields encountered in the section crossing the ACC, the interpolation skill of the multiscale OI algorithm with an isotropic covariance function was lower. The highest relative interpolation errors were obtained in the case of regular gaps resulting from interspersed deep and shallow stations, even though the total number of retained data points is almost 80%. This is a consequence of inadequate sampling. All considered methods do a poor job of extrapolating data in boundary regions. For the ACC mapping, extrapolation errors exceeded the standard deviation of the fields by several times, indicating that the results of any interpolation method should be considered very critically in the boundary regions.</t>
  </si>
  <si>
    <t>CSIRO, Div Marine Res, Hobart, Tas 7001, Australia; Antarctic CRC, Hobart, Tas, Australia</t>
  </si>
  <si>
    <t>Commonwealth Scientific &amp; Industrial Research Organisation (CSIRO)</t>
  </si>
  <si>
    <t>Sokolov, S (corresponding author), CSIRO, Div Marine Res, GPO Box 1538, Hobart, Tas 7001, Australia.</t>
  </si>
  <si>
    <t>Rintoul, Stephen R/A-1471-2012; Sokolov, Serguei/A-4882-2008</t>
  </si>
  <si>
    <t>Rintoul, Stephen R/0000-0002-7055-9876;</t>
  </si>
  <si>
    <t>0739-0572</t>
  </si>
  <si>
    <t>J ATMOS OCEAN TECH</t>
  </si>
  <si>
    <t>J. Atmos. Ocean. Technol.</t>
  </si>
  <si>
    <t>10.1175/1520-0426(1999)016&lt;1434:SROION&gt;2.0.CO;2</t>
  </si>
  <si>
    <t>Engineering, Ocean; Meteorology &amp; Atmospheric Sciences</t>
  </si>
  <si>
    <t>Engineering; Meteorology &amp; Atmospheric Sciences</t>
  </si>
  <si>
    <t>242TV</t>
  </si>
  <si>
    <t>WOS:000082958500014</t>
  </si>
  <si>
    <t>Cai, WJ; Baines, PG; Gordon, HB</t>
  </si>
  <si>
    <t>Southern mid- to high-latitude variability, a zonal wavenumber-3 pattern, and the Antarctic circumpolar wave in the CSIRO coupled model</t>
  </si>
  <si>
    <t>JOURNAL OF CLIMATE</t>
  </si>
  <si>
    <t>DECADAL CLIMATE VARIABILITY; SEA-SURFACE TEMPERATURE; NORTHWEST ATLANTIC; HEMISPHERE; CIRCULATION; ATMOSPHERE; PACIFIC; OSCILLATION; RESPONSES; ANOMALIES</t>
  </si>
  <si>
    <t>Variability in the southern atmospheric circulation at mid- to high latitudes with a dominant quasi-stationary wavenumber-3 pattern has been reported in many observational studies. The variability is barotropic in nature with signals in the middle troposphere as well as at the atmosphere-ocean interface. Moreover, there are preferred Fixed centers for the strongest anomalies. These features are well reproduced by the Commonwealth Scientific and Industrial Research Organisation coupled model on various timescales. On the interannual timescale. an index of the modeled wavenumber-3 pattern shows little correlation with the modeled Southern Oscillation index, suggesting that the variability associated with wavenumber 3 anomalies is separate to modeled ENSO-like events. However, the variation of the pattern index is strikingly similar to, and highly correlated with, the modeled oceanic variability. The associated oceanic anomalies move eastward and are similar to those of the observed Antarctic circumpolar wave (ACW). The modeled ACW-like anomalies exist not only at the surface but also through middle ocean depths, with a similar barotropic nature to those of the atmospheric anomalies. The oceanic anomalies also display a wavenumber-3 pattern. The essential elements of the dynamics of the modeled ACW are the advection of SST anomalies by the surface Antarctic Circumpolar Current (ACC), and the interactions between anomalies of SST and mean sea level pressure (MSLP). Associated with the standing wavenumber-3 pattern, there are fixed centers for the strongest MSLP anomalies. As a positive SST anomaly advected by surface ACC approaches a center of a positive MSLP anomaly, the MSLP decreases. The positive (negative) SST anomalies are generated by anomalous latent and heat fluxes, which are in turn induced by southward (northward) meridional wind stress anomalies resulting from geostrophic balance. These MSLP anomalies change sign when the positive (negative) SST anomalies move to a location near the centers. Once MSLP anomalies change sign, positive (negative) SST anomalies are generated again reinforcing the anomalies entering from the west. The time for the surface ACC to advect one-sixth of the circuit around the pole corresponds to the time of a half-cycle of the standing MSLP oscillations. Thus the surface ACC determines the frequency of the standing oscillation. In the present model, the speed of the surface ACC is such that the period of the standing oscillation is 4-5 yr, and it would take 12-16 yr for an anomaly to encircle the pole. These and other features of the modeled ACW, together with associated dynamic processes, are analyzed and discussed.</t>
  </si>
  <si>
    <t>CSIRO Atmospher Res, Aspendale, Vic 3195, Australia</t>
  </si>
  <si>
    <t>Cai, WJ (corresponding author), CSIRO Atmospher Res, PMB1, Aspendale, Vic 3195, Australia.</t>
  </si>
  <si>
    <t>Cai, Wenju/C-2864-2012</t>
  </si>
  <si>
    <t>Cai, Wenju/0000-0001-6520-0829</t>
  </si>
  <si>
    <t>0894-8755</t>
  </si>
  <si>
    <t>J CLIMATE</t>
  </si>
  <si>
    <t>J. Clim.</t>
  </si>
  <si>
    <t>10.1175/1520-0442(1999)012&lt;3087:SMTHLV&gt;2.0.CO;2</t>
  </si>
  <si>
    <t>246KQ</t>
  </si>
  <si>
    <t>WOS:000083163300009</t>
  </si>
  <si>
    <t>Engebretson, MJ; Murr, DL; Hughes, WJ; Lühr, H; Moretto, T; Posch, JL; Weatherwax, AT; Rosenberg, TJ; Maclennan, CG; Lanzerotti, LJ; Marcucci, F; Dennis, S; Burns, G; Bitterly, J; Bitterly, M</t>
  </si>
  <si>
    <t>A multipoint determination of the propagation velocity of a sudden commencement across the polar ionosphere</t>
  </si>
  <si>
    <t>INTERPLANETARY MAGNETIC-FIELD; DYNAMIC PRESSURE CHANGES; SUBAURORAL LATITUDES; SOLAR-WIND; ELECTRIC-FIELD; FEBRUARY 21; ABSORPTION; CONVECTION; CUSP; EQUATOR</t>
  </si>
  <si>
    <t>We use magnetic field and riometer data, from ground observatories in both the Arctic and Antarctic regions to characterize the high-latitude propagation of a sudden storm commencement (SC) that occurred at; 0901 UT February '21, 1994. (1) high time resolution magnetic field data. from both hemispheres indicate extremely rapid propagation of the initial part of the SC signal at high latitudes. An initial inflection point; was observed in the data front dawn sector stations in both polar caps nearly simultaneously (Delta t &lt;2 s) but,similar to 3 S earlier in the;he southern hemisphere. (2) Data from the Magnetometer Array for Cusp and Cleft Studies (MACCS) in Arctic Canada, with stations from 0130 to 0600 magnetic;ic local time, indicate dispersive propagation of the preliminary impulse (PI) at speeds decreasing from similar to 150 to similar to 50 km/s, directly away from a source near or slightly poleward of the cusp, rather than along the auroral oval. (3) Plots of two-dimensional, 20-s resolution equivalent convection vectors in the Northern Hemisphere reveal the imposition and rapid propagation;ion and decay of a. short-lived large-scale flow pattern opposite to the normal dawn sector flow, followed by an intensification of the original pattern. However, the perturbed flows were not dominated by the localized, tailward propagating vortices predicted in some models of SC events, In both hemispheres, observations of the PI are consistent with the temporary imposition of a, field-aligned current pair antisymmetric about local noon in the polar ionosphere and with horizontal fast mode propagation of a, pulse through the ionosphere. (4) Riometer signatures do not match the magnetic variations in either time or intensity, and they propagate with a much lower velocity (similar to 1 km/s). We il infer that the initial magnetic signatures are generated by the arrival of Alfven waves and associated Birkeland currents at the near-cusp ionosphere, while the riometer signatures st these high latitudes are generated predominantly by interplanetary particles; associated with the causative coronal mass ejection.</t>
  </si>
  <si>
    <t>Augsburg Coll, Dept Phys, Minneapolis, MN USA; Boston Univ, Ctr Space Phys, Boston, MA 02215 USA; Geoforsch Zentrum, Potsdam, Germany; Danish Space Res Inst, DK-2100 Copenhagen, Denmark; Univ Maryland, Inst Phys Sci &amp; Technol, College Pk, MD 20542 USA; Lucent Technol, Bell Labs, Murray Hill, NJ USA; CNR, Ist Fis Spazio Interplanetario, I-00133 Rome, Italy; Australian Geol Survey Org, Canberra, ACT, Australia; Australian Antarctic Div, Kingston, Tas, Australia; Ecole &amp; Observ Phys Globe, Strasbourg, France</t>
  </si>
  <si>
    <t>Augsburg University; Boston University; Technical University of Denmark; University System of Maryland; University of Maryland College Park; Alcatel-Lucent; Lucent Technologies; AT&amp;T; Consiglio Nazionale delle Ricerche (CNR); Istituto Nazionale Astrofisica (INAF); Geoscience Australia; Australian Antarctic Division</t>
  </si>
  <si>
    <t>Augsburg Coll, Dept Phys, Minneapolis, MN USA.</t>
  </si>
  <si>
    <t>engebret@augsburg.edu; hughes@buasta.edu; hluehr@gfz-potsdam.de; moretto@dsri.dk; posch@augsburg.edu; allanw@ipst.umd.edu; rosen-berg@UAP.UMD.edu; cgm@bell-labs.com; ljl@bell-labs.com; feder-ica@sunserv.ifsi.rm.cnr.it; sdennis@lodestone.agso.gov.au; GARY_BUR@antdiv.gov.au; jbitterly@ipgp.jussieu.fr</t>
  </si>
  <si>
    <t>Marcucci, Maria federica/HNJ-5276-2023; Moretto, Therese/B-6846-2013</t>
  </si>
  <si>
    <t>Marcucci, Maria Federica/0000-0002-5002-6060; Moretto, Therese/0000-0002-2403-5561; Weatherwax, Allan/0000-0003-4732-358X</t>
  </si>
  <si>
    <t>A10</t>
  </si>
  <si>
    <t>10.1029/1999JA900237</t>
  </si>
  <si>
    <t>240YV</t>
  </si>
  <si>
    <t>WOS:000082855100013</t>
  </si>
  <si>
    <t>Nishitani, N; Ogawa, T; Pinnock, M; Freeman, MP; Dudeney, JR; Villain, JP; Baker, KB; Sato, N; Yamagishi, H; Matsumoto, H</t>
  </si>
  <si>
    <t>A very large scale flow burst observed by the SuperDARN radars</t>
  </si>
  <si>
    <t>FLUX-TRANSFER EVENTS; INTERPLANETARY MAGNETIC-FIELD; HIGH-LATITUDE CONVECTION; WIND DYNAMIC PRESSURE; IONOSPHERIC CONVECTION; BOUNDARY-LAYER; HF RADARS; MAGNETOPAUSE; CUSP; SIGNATURES</t>
  </si>
  <si>
    <t>We examined the dynamics of the ionospheric plasma in the dayside sector by using the HF radar data at Iceland West and at Finland from 1100 to 1230 UT on September 5, 1995. During that period, the solar wind density was high and the IMF was strongly southward. The dayside magnetopause was highly compressed nearly to the geosynchronous orbit. The two radars simultaneously detected a poleward flow burst in the noon sector which, assuming uniformity of flow in the region of the data gap (1.5 MLT) between the two radars, showed a magnetic local time extent of 5 hours. This local time extent is 2 to 3 hours wider than previous results. The maximum poleward plasma velocity of the flow burst is similar to 750 m/s, and the latitudinal size of the flow burst region is similar to 100 to 200 km. This flow burst region initially expanded in longitude up to 5 hours, and then shifted poleward with a phase speed of 400 to 670 m/s. The flow burst has a duration of similar to 20 min. This large-scale poleward flow burst is likely to be due to large-scale reconnection occurring at the dayside magnetopause and subsequent convection as the magnetic field lines are transported across the polar cap.</t>
  </si>
  <si>
    <t>Nagoya Univ, Solar Terr Environm Lab, Toyokawa 4428507, Japan; British Antarctic Survey, Cambridge CB3 0ET, England; CNRS, F-45071 Orleans 2, France; Johns Hopkins Univ, Appl Phys Lab, Laurel, MD 20723 USA; Natl Inst Polar Res, Tokyo 1738515, Japan; Natl Space Dev Agcy Japan, Off Res &amp; Dev, Tsukuba, Ibaraki, Japan; Natl Sci Dev Agcy Japan, Off Res &amp; Dev, Tsukuba, Ibaraki 3058505, Japan</t>
  </si>
  <si>
    <t>Nagoya University; UK Research &amp; Innovation (UKRI); Natural Environment Research Council (NERC); NERC British Antarctic Survey; Centre National de la Recherche Scientifique (CNRS); Johns Hopkins University; Johns Hopkins University Applied Physics Laboratory; Research Organization of Information &amp; Systems (ROIS); National Institute of Polar Research (NIPR) - Japan; Japan Aerospace Exploration Agency (JAXA)</t>
  </si>
  <si>
    <t>Nagoya Univ, Solar Terr Environm Lab, Toyokawa 4428507, Japan.</t>
  </si>
  <si>
    <t>nisitani@stelab.nagoya-u.ac.jp; ogawa@stelab.nagoya-u.ac.jp; mpi@pcmail.nerc-bas.ac.uk; mpf@pcmail.nerc-bas.ac.uk; jrd@pcmail.nerc-bas.ac.uk; jvillain@orleans.cnrs-orleans.fr; kile_baker@jhuapl.edu; nsato@nipr.ac.jp; yamagisi@nipr.ac.jp</t>
  </si>
  <si>
    <t>Nishitani, Nozomu/R-8831-2019; Freeman, Mervyn/E-5687-2019</t>
  </si>
  <si>
    <t>Nishitani, Nozomu/0000-0001-9842-5119; Freeman, Mervyn/0000-0002-8653-8279</t>
  </si>
  <si>
    <t>10.1029/1999JA900241</t>
  </si>
  <si>
    <t>WOS:000082855100015</t>
  </si>
  <si>
    <t>Parkinson, ML; Breed, AM; Dyson, PL; Morris, RJ</t>
  </si>
  <si>
    <t>Signatures of the ionospheric cusp in digital ionosonde measurements of plasma drift above Casey, Antarctica</t>
  </si>
  <si>
    <t>FLUX-TRANSFER EVENTS; INTERPLANETARY MAGNETIC-FIELD; HIGH-LATITUDE IONOSPHERE; DIPOLE TILT ANGLE; BOUNDARY-LAYER; RADAR; PRECIPITATION; CONVECTION; IDENTIFICATION; MAGNETOPAUSE</t>
  </si>
  <si>
    <t>Signatures of the ionospheric cusp in HF digital ionosonde measurements of plasma drift made at the polar cap station Casey, Antarctica (-80.8 degrees geomagnetic latitude), are investigated. Measurements recorded during the campaign interval February 13-17, 1996, are considered in this case study because the summer dipole tilt effect, and an interplanetary magnetic field (IMF) northward condition on February 16, were favorable for the detection of the cusp at a higher than usual latitude. On February 14 and 15 the magnitude of the IMF-was about 4-6 nT, and the station probably passed just poleward of the cusp. The most general signatures of the cusp were enhanced electric field and electric field turbulence shown by increased drift velocity and velocity scatter in the convection throat, respectively. Broadband, unstructured fluctuations in the geomagnetic field measured by magnetometers near to noon are well known to be a signature of cusp currents and were associated with the intervals of enhanced convection turbulence. A major cusp event occurred above Casey on February 16, when the magnitude of the IMF increased from about 5 to &gt;10 nT. Cusp signatures during this event included the drift velocity surging to large values just before and after an interval during which the F region echoes were lost because of an absence of I; region ionization and the formation of electron density patches. The loss of echoes was only partly explained by increased absorption and scatter of the transmitted radio waves; Although the spectral width of Doppler peaks increased, this, by itself, was not a unique signature of the cusp because the obliquity of echoes also controlled the spectral width in our near-vertical interferometry. However, signatures of the cusp were easily recognized in digisonde data, and the cusp's location and dynamics can be monitored using digisondes.</t>
  </si>
  <si>
    <t>La Trobe Univ, Dept Phys, Victoria, BC 3083, Canada; Australian Antarctic Div, Kingston, Tas, Australia</t>
  </si>
  <si>
    <t>Australian Antarctic Division</t>
  </si>
  <si>
    <t>Parkinson, ML (corresponding author), La Trobe Univ, Dept Phys, Victoria, BC 3083, Canada.</t>
  </si>
  <si>
    <t>m.parkinson@Iatrobe.edu.au</t>
  </si>
  <si>
    <t>10.1029/1999JA900178</t>
  </si>
  <si>
    <t>WOS:000082855100016</t>
  </si>
  <si>
    <t>Freeman, MP; Farrugia, CJ</t>
  </si>
  <si>
    <t>Solar wind input between substorm onsets during and after the October 18-20, 1995, magnetic cloud</t>
  </si>
  <si>
    <t>MAGNETOSPHERIC SUBSTORMS; IONOSPHERIC CONVECTION; EARTHS MAGNETOSPHERE; GEOMAGNETIC-ACTIVITY; MAGNETOPAUSE; RECONNECTION; RECURRENCE; DYNAMICS; PASSAGE; STEADY</t>
  </si>
  <si>
    <t>We study an aspect of substorm occurrence during Earth passage of the October 1995 magnetic cloud and the corotating stream overtaking it. The substorms were identified primarily by five latitudinal arrays of ground-based magnetometers around the globe and the interplanetary observations were from the Wind spacecraft. The aspect we study is the energy and magnetic flux accumulated in the geomagnetic tail between successive substorm onsets, which we calculate by integrating different theoretical and empirical expressions for the solar wind-magnetosphere coupling rates. These coupling functions, which depend strongly on the interplanetary magnetic field (IMF) north-south component, B-z, have all been proposed previously as appropriate measures of solar wind input into the magnetosphere and indeed most correlate well with the cross-polar cap potential. We contrast the effect on magnetospheric substorms of three solar wind states: A 14 hour long period of continuous and strong IMF B-z &lt; 0 and a 16 hour long period of continuous and strong IMF B-z &gt; 0, both states due to the magnetic cloud; and a 22 hour long period of intermittent IMF B-z polarity of large, but weaker amplitude, due to Alfven waves in the faster stream. We find that (1) the average rate of substorm onset occurrence during the B-z &lt; 0 phase in the cloud is higher than during the intermittent B-z polarity in the wake, by about a factor of 1.4. (2) The long B-z &gt; 0 phase of the cloud elicited no substorm onsets. (3) The total time for which B-z is negative between substorm onsets is less variable than the interonset interval itself, but still varies between similar to 0.5 hour and similar to 4 hours. (4) The integral of any individual solar wind-magnetosphere coupling function between successive substorm onsets is also variable. (5) The interonset integral varies differently for different coupling functions, even for those which measure the same quantity (energy or magnetic flux). (6) For all energy and magnetic flux coupling functions we find a positive correlation between the interonset integral and the value of the coupling function around the time of the preceding substorm onset. The correlation is best for the epsilon and nu B-s functions. This result is consistent with those substorm models in which substorm onset occurs at some fixed energy or magnetic flux threshold and where the amount of energy or magnetic flux lost following each substorm onset is proportional to the solar wind input rate at the time of onset.</t>
  </si>
  <si>
    <t>British Antarctic Survey, Cambridge CB3 0ET, England; Univ New Hampshire, Inst Study Earth Oceans &amp; Space, Ctr Space Sci, Durham, NH 03824 USA</t>
  </si>
  <si>
    <t>UK Research &amp; Innovation (UKRI); Natural Environment Research Council (NERC); NERC British Antarctic Survey; University System Of New Hampshire; University of New Hampshire</t>
  </si>
  <si>
    <t>British Antarctic Survey, Madingley Rd, Cambridge CB3 0ET, England.</t>
  </si>
  <si>
    <t>m.p.freeman@bas.ac.uk; farrugia@monet.sr.unh.edu</t>
  </si>
  <si>
    <t>Freeman, Mervyn/E-5687-2019</t>
  </si>
  <si>
    <t>Freeman, Mervyn/0000-0002-8653-8279</t>
  </si>
  <si>
    <t>10.1029/1999JA900204</t>
  </si>
  <si>
    <t>WOS:000082855100037</t>
  </si>
  <si>
    <t>Sensitivity of a global ocean general circulation model to tracer advection schemes</t>
  </si>
  <si>
    <t>WORLD OCEAN; TRANSPORT ALGORITHM; EQUILIBRIUM</t>
  </si>
  <si>
    <t>Vertical diffusivity at the thermocline depths is now believed to be as small as 1 x 10(-5) m(2) s(-1). In order to accomplish a reliable simulation of the World Ocean for the Vertical diffusivity of 1 x 10(-5) m(2) s(-1), two advective tracer transport schemes, the Uniformly Third-Order Polynominal Interpolation Algorithm (UTOPIA) of Leonard et al, and the Multidimensional Positive Definite Advection Transport Algorithm (MPDATA) of Smolarkiewicz, are incorporated into an ocean general circulation model. Intercomparison is made among simulations using UTOPIA, MPDATA, and the centered differencing scheme. When UTOPIA or MPDATA is adopted, features at the thermocline depths are realistically simulated. Increase in computational cost is moderate. Circulations associated with Antarctic Bottom Water (AABW) in the Atlantic and Circumpolar Deep Water (CDW) in the Pacific are not reproduced at all for such small vertical diffusivity, although the circulation associated with North Atlantic Deep Water (NADW) has reasonable intensity. Another experiment with UTOPIA for the vertical diffusivity of 5 x 10(-5) m(2) s(-1) shows that the circulation associated with NADW is relatively insensitive to vertical diffusivity, compared with the circulation associated with AABW and CDW.</t>
  </si>
  <si>
    <t>Univ Tokyo, Ctr Climate Syst Res, Meguro Ku, Tokyo 1538904, Japan</t>
  </si>
  <si>
    <t>Univ Tokyo, Ctr Climate Syst Res, Meguro Ku, 4-6-1 Komaba, Tokyo 1538904, Japan.</t>
  </si>
  <si>
    <t>hasumi@ccsr.u-tokyo.ac.jp</t>
  </si>
  <si>
    <t>1520-0485</t>
  </si>
  <si>
    <t>10.1175/1520-0485(1999)029&lt;2730:SOAGOG&gt;2.0.CO;2</t>
  </si>
  <si>
    <t>250HG</t>
  </si>
  <si>
    <t>WOS:000083382500016</t>
  </si>
  <si>
    <t>Brierley, AS; Brandon, MA</t>
  </si>
  <si>
    <t>Potential for long-distance dispersal of Euphausia crystallorophias in fast current jets</t>
  </si>
  <si>
    <t>SQUID MARTIALIA-HYADESI; SOUTHERN-OCEAN; LARVAE; ANTARCTICA; OCEANOGRAPHY; SUPERBA; ECOLOGY; RATES; LAND; SEA</t>
  </si>
  <si>
    <t>The euphausiid Euphausia crystallorophias Holt and Tattersall, 1906 is considered to be a neritic species. It has been found in greatest abundance along the Antarctic continental margins, often in association with regions of pack ice. Although E. crystallorophias has been observed at some islands to the west of the Antarctic Peninsula, the species has not previously been reported from islands of the maritime- or sub-antarctic further north. During an oceanographic transect in November 1997 from South Georgia to the South Sandwich Islands, acoustic observations revealed;a dense, discrete pelagic target at 50 m. The target was fished and was found to be an aggregation of small E. crystallorophias. The fishing location (54.48 degrees S;; 30.61 degrees W) was &gt; 1500 km from the Antarctic continent, and &gt; 250 km from the nearest land, in water of several thousands of metres depth - clearly a non-neritic environment. Examination of hydrographic data revealed that the E. crystallorophias swarm had been located within a fast-flowing band of water that had characteristics of water found near the Antarctic Peninsula. This band was similar or equal to 150 km wide, and had a speed ranging from 9 to 22 km d(-1) in a north-easterly direction. The possible origins of this E. crystallorophias swarm are explored in the light of the eddy-dominated current patterns prevalent in the Weddell-Scotia Confluence region, and with reference to published growth-rate estimates for the species. We discuss the potential for long-distance dispersal of E. crystallorophias and other neritic species in fast current jets, and examine how such oceanographic features could facilitate long-distance dispersal, colonization, and gene flow.</t>
  </si>
  <si>
    <t>Brierley, AS (corresponding author), British Antarctic Survey, High Cross,Madingley Rd, Cambridge CB3 0ET, England.</t>
  </si>
  <si>
    <t>Brandon, Mark A/A-5804-2010; Brierley, Andrew/G-8019-2011</t>
  </si>
  <si>
    <t>Brandon, Mark/0000-0002-7779-0958; Brierley, Andrew/0000-0002-6438-6892</t>
  </si>
  <si>
    <t>10.1007/s002270050603</t>
  </si>
  <si>
    <t>248ZJ</t>
  </si>
  <si>
    <t>WOS:000083306400009</t>
  </si>
  <si>
    <t>Löscher, BM</t>
  </si>
  <si>
    <t>Relationships among Ni, Cu, Zn, and major nutrients in the Southern Ocean</t>
  </si>
  <si>
    <t>MARINE CHEMISTRY</t>
  </si>
  <si>
    <t>nickel; copper; zinc; silica; diatoms; Southern Ocean</t>
  </si>
  <si>
    <t>DISSOLVED TRACE-METALS; BIOGENIC SILICA; WATER COLUMN; PHYTOPLANKTON GROWTH; SURFACE SEAWATER; NORTH-ATLANTIC; INDIAN-OCEAN; WEDDELL SEA; COPPER; NICKEL</t>
  </si>
  <si>
    <t>During consecutive transects at the 6 degrees W meridian including the Polar Frontal region (PFr), the southern Antarctic Circumpolar Current area (sACC area) and the Weddell Gyre Boundary Front, the spatial and temporal distribution of copper (Cu), nickel (Ni), zinc (Zn) and dissolved silica (Si) was related to phytoplankton activity and hydrography. In the PFr, a diatom spring bloom coincided with reduced trace metal and Si concentrations. The trace metal/Si ratios increased during bloom development due to preferential Si net uptake. Within the surface water of the sACC area, a continuous increase in trace metal and Si concentration towards the south was observed. The increase in concentration towards the south is attributed either to a constant flux of trace metals and Si mediated by sinking biogenic particles out of the AASW, or by a combination of the southward increasing upwelling of Upper Circumpolar Deep Water (UCDW) and the continuous downward particle flux. The observed subsurface maxima in the sACC area are probably caused by leaching of sea ice diatoms sedimenting after sea ice melting. Minima in transmission above the pycnocline point to the formation, sinking and dissolution of marine snow responsible for the concentration maxima of trace metals. At the deep sampling stations, Cu correlated strongest with Si among the trace metal/major nutrient correlations, whereby the Cu/Si slopes were significantly lower at the stations in the relatively high productive PFr (0.013-0.018 nM/mu M) than at the stations in the relatively low productive sACC area (0.020-0.022 nM/mu M). The relatively low Cu/Si slopes at the stations in the PFr are probably due to preferential Si uptake by diatoms in the upper water column and Cu scavenging in the deeper water column. A longer retention of Cu compared to Si during the dissolution of the diatom frustules in the sediment may have contributed to the relatively low Cu/Si slopes as well. Within the UCDW, the trace metals showed maxima in concentration similar to those of phosphate and nitrate, indicating the core of the UCDW. At one station near the Cape Basin, the concentrations of trace metals, phosphate and nitrate reflect the input of North Atlantic Deep Water into the Antarctic Circumpolar Current. In the Low Circumpolar Deep Water (LCDW), trace metal maxima were ascribed to hydrothermal input. (C) 1999 Elsevier Science B.V. All rights reserved.</t>
  </si>
  <si>
    <t>Netherlands Inst Sea Res, Dept Marine Chem &amp; Geol, NL-1790 AB Den Burg, Netherlands</t>
  </si>
  <si>
    <t>Utrecht University; Royal Netherlands Institute for Sea Research (NIOZ)</t>
  </si>
  <si>
    <t>Netherlands Inst Sea Res, Dept Marine Chem &amp; Geol, POB 59, NL-1790 AB Den Burg, Netherlands.</t>
  </si>
  <si>
    <t>bettina@nioz.nl</t>
  </si>
  <si>
    <t>0304-4203</t>
  </si>
  <si>
    <t>1872-7581</t>
  </si>
  <si>
    <t>MAR CHEM</t>
  </si>
  <si>
    <t>Mar. Chem.</t>
  </si>
  <si>
    <t>10.1016/S0304-4203(99)00050-X</t>
  </si>
  <si>
    <t>Chemistry, Multidisciplinary; Oceanography</t>
  </si>
  <si>
    <t>Chemistry; Oceanography</t>
  </si>
  <si>
    <t>238KM</t>
  </si>
  <si>
    <t>WOS:000082709500006</t>
  </si>
  <si>
    <t>Lange, CB; Berger, WH; Lin, HL; Wefer, G</t>
  </si>
  <si>
    <t>Shipboard Sci Party Leg 175</t>
  </si>
  <si>
    <t>The early Matuyama Diatom Maximum off SW Africa, Benguela Current System (ODP Leg 175)</t>
  </si>
  <si>
    <t>MARINE GEOLOGY</t>
  </si>
  <si>
    <t>Letter</t>
  </si>
  <si>
    <t>Benguela; diatoms; opal; Matuyama Chron; paleoceanography</t>
  </si>
  <si>
    <t>SOUTHERN BENGUELA; UPWELLING SYSTEM; ATLANTIC-OCEAN; PHYTOPLANKTON; REGION; COCCOLITHOPHORES</t>
  </si>
  <si>
    <t>Several sites Of Ocean Drilling Program Leg 175 between 20 degrees and 30 degrees S (1081, 1082, 1083, 1084 and 1085) in the Benguela Current system show a distinct opal (and diatom) maximum within the late Pliocene and early Quaternary, spanning the lower half of the Matuyama reversed polarity Chron (MDM, Matuyama Diatom Maximum). This maximum is centered around 2.0-2.6 Ma, and follows a rapid increase of diatom deposition near 3.1 Ma. Within the MDM, we recognized intervals dominated by the antarctic/subantarctic species Thalassiothrix antarctica which have the aspect of diatom mats, The MDM (and the mats) developed during a time of sustained Southern Ocean influence (3.2-1.6 Ma), probably reflecting a period of seasonally-pulsed continuous advection of subantarctic waters into the Benguela Oceanic Current, The onset and cessation of the MDM raises questions about modes in the operation of the silica cycle and the relation of these to major oceanographic events. A depositional model for the late Pliocene is proposed which involves positional changes in a longshore system of fronts, substantial equatorward excursions of subantarctic waters during MDM time, and subsurface waters greatly enriched in silicate. (C) 1999 Elsevier Science B.V. All rights reserved.</t>
  </si>
  <si>
    <t>Univ Calif San Diego, Scripps Inst Oceanog, Geosci Res Div, La Jolla, CA 92093 USA; Natl Sun Yat Sen Univ, Inst Marine Geol &amp; Chem, Kaohsiung 80424, Taiwan; Univ Bremen, D-28334 Bremen, Germany</t>
  </si>
  <si>
    <t>University of California System; University of California San Diego; Scripps Institution of Oceanography; National Sun Yat Sen University; University of Bremen</t>
  </si>
  <si>
    <t>Univ Calif San Diego, Scripps Inst Oceanog, Geosci Res Div, 9500 Gilman Dr, La Jolla, CA 92093 USA.</t>
  </si>
  <si>
    <t>clange@ucsd.edu</t>
  </si>
  <si>
    <t>Lange, Carina/AHC-2015-2022; Wefer, Gerold/S-2291-2016</t>
  </si>
  <si>
    <t>Lange, Carina/0000-0002-2916-4207; Wefer, Gerold/0000-0002-6803-2020</t>
  </si>
  <si>
    <t>0025-3227</t>
  </si>
  <si>
    <t>1872-6151</t>
  </si>
  <si>
    <t>MAR GEOL</t>
  </si>
  <si>
    <t>Mar. Geol.</t>
  </si>
  <si>
    <t>2-4</t>
  </si>
  <si>
    <t>10.1016/S0025-3227(99)00081-X</t>
  </si>
  <si>
    <t>Geosciences, Multidisciplinary; Oceanography</t>
  </si>
  <si>
    <t>Geology; Oceanography</t>
  </si>
  <si>
    <t>257LX</t>
  </si>
  <si>
    <t>WOS:000083784300001</t>
  </si>
  <si>
    <t>Morgan, CL; Odunton, NA; Jones, AT</t>
  </si>
  <si>
    <t>Synthesis of environmental impacts of deep seabed mining</t>
  </si>
  <si>
    <t>MARINE GEORESOURCES &amp; GEOTECHNOLOGY</t>
  </si>
  <si>
    <t>Clarion-Clipperton Fracture Zone; environmental impacts; manganese nodules; seabed mining; The Area</t>
  </si>
  <si>
    <t>ANTARCTIC BOTTOM WATER; NORTH PACIFIC; MANGANESE NODULES; INDIAN-OCEAN; DISTRIBUTIONS; BASIN; SITE</t>
  </si>
  <si>
    <t>A synthesis of environmental data compiled over the past 25 years is reviewed and organized. We describe the anticipated activities associated with exploration for commercial deposits, with engineering tests of recovery and mining systems, and with basic metallurgical processing. Basic description of the manganese nodule oceanographic environment is presented, including the occurrence of nodule deposits, relative sediment properties, benthic currents, and biological community. Environmental impacts from previous studies are summarized. Studies to date support the original concerns for environmental impact identified in the DOMES research, including impact on the benthic community where nodules are removed; impacts of the discharged plume on the near-surface biota; and impacts on the benthos due to deposition of suspended sediment. Future studies should address the establishment of quantitative relationships between resedimented thickness and benthic community response; integration of mining-related research efforts on benthic communities; establishment of clear guidelines for monitoring of precommercial mining test; and comparison of impacts from deep seabed mining with alternative land-based mining scenarios.</t>
  </si>
  <si>
    <t>Univ Hawaii Manoa, Marine Minerals Technol Ctr, Honolulu, HI 96822 USA; Int Seabed Author, Off Resource &amp; Environm Monitoring, Kingston, Jamaica</t>
  </si>
  <si>
    <t>University of Hawaii System; University of Hawaii Manoa</t>
  </si>
  <si>
    <t>Jones, AT (corresponding author), Oceanus Consulting, 1644 Traval St, San Francisco, CA 94116 USA.</t>
  </si>
  <si>
    <t>TAYLOR &amp; FRANCIS INC</t>
  </si>
  <si>
    <t>PHILADELPHIA</t>
  </si>
  <si>
    <t>325 CHESTNUT ST, SUITE 800, PHILADELPHIA, PA 19106 USA</t>
  </si>
  <si>
    <t>1064-119X</t>
  </si>
  <si>
    <t>MAR GEORESOUR GEOTEC</t>
  </si>
  <si>
    <t>Mar. Geores. Geotechnol.</t>
  </si>
  <si>
    <t>OCT-DEC</t>
  </si>
  <si>
    <t>10.1080/106411999273666</t>
  </si>
  <si>
    <t>Engineering, Ocean; Engineering, Geological; Oceanography; Mining &amp; Mineral Processing</t>
  </si>
  <si>
    <t>Engineering; Oceanography; Mining &amp; Mineral Processing</t>
  </si>
  <si>
    <t>270LZ</t>
  </si>
  <si>
    <t>WOS:000084538300001</t>
  </si>
  <si>
    <t>Moore, MJ; Berrow, SD; Jensen, BA; Carr, P; Sears, R; Rowntree, VJ; Payne, R; Hamilton, PK</t>
  </si>
  <si>
    <t>Relative abundance of large whales around South Georgia (1979-1998)</t>
  </si>
  <si>
    <t>MARINE MAMMAL SCIENCE</t>
  </si>
  <si>
    <t>South Georgia; survey; whale; right whale; Antarctic; whaling</t>
  </si>
  <si>
    <t>ATLANTIC HUMPBACK WHALES; MEGAPTERA-NOVAEANGLIAE; EUBALAENA-AUSTRALIS; POPULATION</t>
  </si>
  <si>
    <t>To assess large-whale stocks following the cessation of land-based South Georgia whaling in 1965, we report three independent sighting: databases: a cruise in 1997, observations from Bird Island (NW of South Georgia) between 1979 and 1998, and mariner sightings between 1992 and 1997. All species were rare, with sightings of southern right whales being the most common event. Two right whales photographed off South Georgia matched animals known from Peninsula Valdes, Argentina, a population known to be growing at 7% per annum. In contrast, blue and fin whales appeared to be less abundant. A single blue whale mot-her-calf pair was observed off the Shag Rocks in February 1997. Extirpation. of animals from this particular feeding ground is the most likely reason for ongoing law numbers of all species. Other factors may include competition for krill by traditional predators such as penguins and seals and more recently by humans, an unusually high rate of natural mortality, habitat change such as alteration in sea ice coverage, and/or the impact of ongoing whaling. The history of this critical area of large-whale habitat and this report demonstrate the need for improved, consistent longterm monitoring of population trends for these depleted stocks.</t>
  </si>
  <si>
    <t>Woods Hole Oceanog Inst, Dept Biol, Woods Hole, MA 02543 USA; British Antarctic Survey, NERC, Cambridge CB3 0ET, England; S Georgia Museum, Grytviken, GA USA; Mingan Isl Cetacean Study Inc, Lambert, PQ J4P 1T3, Canada; Whale Conservat Inst, Lincoln, MA 01773 USA; New England Aquarium, Boston, MA 02110 USA</t>
  </si>
  <si>
    <t>Woods Hole Oceanographic Institution; UK Research &amp; Innovation (UKRI); Natural Environment Research Council (NERC); NERC British Antarctic Survey</t>
  </si>
  <si>
    <t>Moore, MJ (corresponding author), Woods Hole Oceanog Inst, Dept Biol, Woods Hole, MA 02543 USA.</t>
  </si>
  <si>
    <t>Moore, Michael J./E-1707-2015</t>
  </si>
  <si>
    <t>Moore, Michael J./0000-0003-3074-6631</t>
  </si>
  <si>
    <t>SOC MARINE MAMMALOGY</t>
  </si>
  <si>
    <t>LAWRENCE</t>
  </si>
  <si>
    <t>1041 NEW HAMPSHIRE ST, LAWRENCE, KS 66044 USA</t>
  </si>
  <si>
    <t>0824-0469</t>
  </si>
  <si>
    <t>MAR MAMMAL SCI</t>
  </si>
  <si>
    <t>Mar. Mamm. Sci.</t>
  </si>
  <si>
    <t>10.1111/j.1748-7692.1999.tb00891.x</t>
  </si>
  <si>
    <t>Marine &amp; Freshwater Biology; Zoology</t>
  </si>
  <si>
    <t>250RP</t>
  </si>
  <si>
    <t>WOS:000083402100034</t>
  </si>
  <si>
    <t>Bannister, JL; Pastene, LA; Burnell, SR</t>
  </si>
  <si>
    <t>First record of movement of a southern right whale (Eubalaena australis) between warm water breeding grounds and the Antarctic Ocean, south of 60°s</t>
  </si>
  <si>
    <t>Western Australian Museum, Perth, WA 6000, Australia; Inst Cetacean Res, Chuo Ku, Tokyo 1040055, Japan; Univ Sydney, Dept Vet Anat &amp; Pathol, Sydney, NSW 2006, Australia</t>
  </si>
  <si>
    <t>Western Australian Museum; University of Sydney</t>
  </si>
  <si>
    <t>Bannister, JL (corresponding author), Western Australian Museum, Francis St, Perth, WA 6000, Australia.</t>
  </si>
  <si>
    <t>10.1111/j.1748-7692.1999.tb00895.x</t>
  </si>
  <si>
    <t>WOS:000083402100038</t>
  </si>
  <si>
    <t>Mossbridge, JA; Shedd, JG; Thomas, JA</t>
  </si>
  <si>
    <t>An acoustic niche for antarctic killer whale and leopard seal sounds</t>
  </si>
  <si>
    <t>SIGNALS</t>
  </si>
  <si>
    <t>Western Illinois Univ, Lab Sensory Biol, Moline, IL 61265 USA; John G Shedd Aquarium, Marine Mammal Dept, Chicago, IL 60605 USA; Northwestern Univ, Dept Commun Sci &amp; Disorders, Audiol &amp; Hearing Sci Program, Evanston, IL 60208 USA</t>
  </si>
  <si>
    <t>Western Illinois University; Northwestern University</t>
  </si>
  <si>
    <t>Thomas, JA (corresponding author), Western Illinois Univ, Lab Sensory Biol, 3561 60th St, Moline, IL 61265 USA.</t>
  </si>
  <si>
    <t>10.1111/j.1748-7692.1999.tb00897.x</t>
  </si>
  <si>
    <t>WOS:000083402100040</t>
  </si>
  <si>
    <t>Bruni, V; Gugliandolo, C; Maugeri, T; Allegra, A</t>
  </si>
  <si>
    <t>Psychrotrophic bacteria from a coastal station in the Ross Sea (Terra Nova Bay, Antarctica)</t>
  </si>
  <si>
    <t>MICROBIOLOGICA</t>
  </si>
  <si>
    <t>psychrotrophic bacteria; picoplankton; synthetical indices</t>
  </si>
  <si>
    <t>WEDDELL SEA; BACTERIOPLANKTON; COMMUNITIES; MICROFLORA; ABUNDANCE; BIOMASS; AREA</t>
  </si>
  <si>
    <t>Seawater samples were collected from a fixed, coastal station in the Terra Nova Bay at different depths during the Xth Oceanographic Cruise in the 1994-95 Antarctic summer. Picoplanktonic abundance, estimated by direct counts in epifluorescence microscopy, ranged from 2.2x10(7) to 1.6x10(8)cells.1(-1). The heterotrophic bacterial densities, evaluated on Marine Agar 2216 (Difco) after incubation at +4 degrees C for 21 days, ranged from 2x10(3) to 4.5x10(6) CFU.1(-1). The qualitative composition of the heterotrophic bacterial community was studied on 64 morphological and biochemical characters of the 125 strains isolated. Heterotrophic, psychrotrophic isolates were tentatively identified at genus level as Pseudomonas, Vibrio, Acinetobacter, and Flavobacterium/Cytophaga. In order to compare the characteristics of the isolates with those previously studied during 1989/90, the synthetical indices of the structure and the metabolic potentiality of the heterotrophic bacterial community were processed. Results showed that the bacterial community was metabolically more active and more homogenous than that previously studied.</t>
  </si>
  <si>
    <t>Dipartimento Biol Anim &amp; Ecol Marina, I-98166 Messina, Italy</t>
  </si>
  <si>
    <t>Dipartimento Biol Anim &amp; Ecol Marina, Salita Sperone 31, I-98166 Messina, Italy.</t>
  </si>
  <si>
    <t>Gugliandolo, Concetta/L-6855-2015</t>
  </si>
  <si>
    <t>Gugliandolo, Concetta/0000-0002-9125-3999</t>
  </si>
  <si>
    <t>LUIGI PONZIO E FIGLIO</t>
  </si>
  <si>
    <t>PAVIA</t>
  </si>
  <si>
    <t>VIA D DA CATALOGNA 1/3, 27100 PAVIA, ITALY</t>
  </si>
  <si>
    <t>1121-7138</t>
  </si>
  <si>
    <t>Microbiologica</t>
  </si>
  <si>
    <t>249UT</t>
  </si>
  <si>
    <t>WOS:000083352200011</t>
  </si>
  <si>
    <t>Riley, TR; Bailey, DK; Harmer, RE; Liebsch, H; Lloyd, FE; Palmer, MR</t>
  </si>
  <si>
    <t>Isotopic and geochemical investigation of a carbonatite-syenite-phonolite diatreme, West Eifel (Germany)</t>
  </si>
  <si>
    <t>MINERALOGICAL MAGAZINE</t>
  </si>
  <si>
    <t>carbonatite; syenite; phonolite; stable isotopes; radiogenic isotopes</t>
  </si>
  <si>
    <t>UPPER-MANTLE; LIQUID IMMISCIBILITY; ALKALINE VOLCANICS; SILICA-RICH; KAISERSTUHL; XENOLITHS; COMPLEX; MELTS; SYSTEMATICS; EVOLUTION</t>
  </si>
  <si>
    <t>The Rockeskyll complex in the north, central part of the Quaternary West Eifel volcanic field encapsulates an association of carbonatite, nephelinite and phonolite. The volcanic complex is dominated by three eruptive centres, which are distinct in their magma chemistry and their mode of emplacement. The Auf Dickel diatreme forms one centre and has erupted the only known carbonatite in the West Eifel, along with a broad range of alkaline rock types. Extrusive carbonatitic volcanism is represented by spheroidal autoliths, which preserve an equilibrium assemblage. The diatreme has also erupted xenoliths of calcite-bearing feldspathoidal syenite, phonolite and sanidine and clinopyroxene megacrysts, which are interpreted as fragments of a sub-volcanic complex. The carbonate phase of volcanism has several manifestations; extrusive lapilli, recrystallized ashes and calcite-bearing syenites, fragmented during diatreme emplacement. A petrogenetic link between carbonatites and alkali mafic magmas is confirmed from Sr and Nd isotope systematics, and an upper mantle origin for the felsic rocks is suggested. The chemistry and mineralogy of mantle xenoliths erupted throughout the West Eifel indicate enrichment in those elements incompatible in the mantle. In addition, the evidence from trace element signatures and melts trapped as glasses support interaction between depleted mantle and small volume carbonate and felsic melts. This close association between carbonate and felsic melts in the mantle is mirrored in the surface eruptives of Auf Dickel and at numerous alkaline-carbonatite provinces worldwide.</t>
  </si>
  <si>
    <t>Univ Bristol, Dept Geol, Bristol BS8 1RJ, Avon, England; Council Geosci, ZA-0001 Pretoria, South Africa; Univ Gottingen, Inst Geochem, D-37033 Gottingen, Germany</t>
  </si>
  <si>
    <t>University of Bristol; University of Gottingen</t>
  </si>
  <si>
    <t>Riley, TR (corresponding author), British Antarctic Survey, Nat Environm Res Council, High Cross,Madingley Rd, Cambridge CB3 0ET, England.</t>
  </si>
  <si>
    <t>Palmer, Martin R/I-6765-2012</t>
  </si>
  <si>
    <t>Riley, Teal/0000-0002-3333-5021</t>
  </si>
  <si>
    <t>MINERALOGICAL SOCIETY</t>
  </si>
  <si>
    <t>41 QUEENS GATE, LONDON, ENGLAND SW7 5HR</t>
  </si>
  <si>
    <t>0026-461X</t>
  </si>
  <si>
    <t>MINERAL MAG</t>
  </si>
  <si>
    <t>Mineral. Mag.</t>
  </si>
  <si>
    <t>10.1180/002646199548736</t>
  </si>
  <si>
    <t>Mineralogy</t>
  </si>
  <si>
    <t>244MU</t>
  </si>
  <si>
    <t>WOS:000083056000001</t>
  </si>
  <si>
    <t>Renfrew, IA; Moore, GWK</t>
  </si>
  <si>
    <t>An extreme cold-air outbreak over the Labrador Sea: Roll vortices and air-sea interaction</t>
  </si>
  <si>
    <t>MONTHLY WEATHER REVIEW</t>
  </si>
  <si>
    <t>PLANETARY BOUNDARY-LAYER; LONGITUDINAL ROLLS; HORIZONTAL ROLL; LAKE-MICHIGAN; CLOUD BANDS; CONVECTION; ATMOSPHERE; CIRCULATIONS; DYNAMICS; STATES</t>
  </si>
  <si>
    <t>Observational data from two research aircraft flights are presented. The flights were planned to investigate the air-sea interaction during an extreme cold-air outbreak, associated with the passage of a synoptic-scare low pressure system over the Labrador Sea during 8 February 1997. This is the first such aircraft-based investigation in this remote region. Both high-level dropsonde and low-level flight-level data were collected. The objectives were twofold: to map out the structure of the roll vortices that cause the ubiquitous cloud streets seen in satellite imagery, and to estimate the sensible and latent heat fluxes between the ocean and atmosphere during the event. The latter was achieved by a Lagrangian analysis of the flight-level data. The flights were part of the Labrador Sea Deep Convection Experiment, investigating deep oceanic convection, and were planned to overpass a research vessel in the area. The aircraft-observed roll vortices had a characteristic wavelength of 4-5 km, particularly evident in the water vapor signal. Unlike observations of roll vortices in other regions, a roll signature was absent from the temperature data. Analysis of satellite imagery shows the cloud streets had a characteristic wavelength of 7-10 km, indicating a multiscale roll Vortex regime. There was a dramatic deepening of the boundary layer with fetch, and also with time. Off the ice edge, surface sensible heat fluxes of 500 W m(-2) and surface latent heat fluxes of 100 W m(-2) were measured, with uncertainties of +/-20%. The very cord air is thought to be responsible for the unusually high Bowen ratio observed.</t>
  </si>
  <si>
    <t>Univ Toronto, Dept Phys, Toronto, ON, Canada</t>
  </si>
  <si>
    <t>University of Toronto</t>
  </si>
  <si>
    <t>Renfrew, IA (corresponding author), British Antarctic Survey, Ice &amp; Climate Div, High Cross,Madingley Rd, Cambridge CB3 0ET, England.</t>
  </si>
  <si>
    <t>I.Renfrew@bas.ac.uk</t>
  </si>
  <si>
    <t>Moore, George Kent/D-8518-2011; Renfrew, Ian A/E-4057-2010</t>
  </si>
  <si>
    <t>Moore, George Kent/0000-0002-3986-5605; Renfrew, Ian/0000-0001-9379-8215</t>
  </si>
  <si>
    <t>0027-0644</t>
  </si>
  <si>
    <t>1520-0493</t>
  </si>
  <si>
    <t>MON WEATHER REV</t>
  </si>
  <si>
    <t>Mon. Weather Rev.</t>
  </si>
  <si>
    <t>10.1175/1520-0493(1999)127&lt;2379:AECAOO&gt;2.0.CO;2</t>
  </si>
  <si>
    <t>243PT</t>
  </si>
  <si>
    <t>WOS:000083007000010</t>
  </si>
  <si>
    <t>Barsoum, A</t>
  </si>
  <si>
    <t>Arctic and Antarctic exploration including the contributions of physicians and effects of disease in the polar regions</t>
  </si>
  <si>
    <t>NEUROSURGERY</t>
  </si>
  <si>
    <t>LIPPINCOTT WILLIAMS &amp; WILKINS</t>
  </si>
  <si>
    <t>530 WALNUT ST, PHILADELPHIA, PA 19106-3621 USA</t>
  </si>
  <si>
    <t>0148-396X</t>
  </si>
  <si>
    <t>Neurosurgery</t>
  </si>
  <si>
    <t>10.1097/00006123-199910000-00068</t>
  </si>
  <si>
    <t>Clinical Neurology; Surgery</t>
  </si>
  <si>
    <t>Neurosciences &amp; Neurology; Surgery</t>
  </si>
  <si>
    <t>242GT</t>
  </si>
  <si>
    <t>WOS:000082932700129</t>
  </si>
  <si>
    <t>Brooke, MD; Keith, D; Rov, N</t>
  </si>
  <si>
    <t>Exploitation of inland-breeding Antarctic petrels by south polar skuas</t>
  </si>
  <si>
    <t>predation rate; predator swamping; time budget; daily energy expenditure; Antarctica</t>
  </si>
  <si>
    <t>METABOLIC RATES; ENERGETICS; SEABIRDS; INCUBATION; BOOBIES</t>
  </si>
  <si>
    <t>During the austral summer of 1996/1997 we studied south polar skuas at Svarthamaren, Dronning Maud Land, Antarctica,:where the world's largest known colony of Antarctic petrels is found. Our censuses suggested approximately 250 full-grown skuas and 140,000 breeding pairs of petrels were present. During their breeding season, skuas did not visit the open sea at least 200 km from the site; they relied entirely on prey caught and scavenged from the petrel colony. Because the site is so isolated, we asked whether the prey (petrels) had swamped the predators (skuas), or whether there was evidence that predator numbers were limited by the size of the prey population. Particularly at the end of the petrel incubation period, we found a close correspondence between the energy required by adult skuas and their chicks, ascertained from time budget studies, and the rate at which petrel eggs disappeared from the colony. This suggests that, in this closed system, the predator population was limited by the prey population, and that predator swamping was not an advantage that petrels gained by nesting in this remote location.</t>
  </si>
  <si>
    <t>Univ Cambridge, Dept Zool, Cambridge CB2 3EJ, England; Univ Cape Town, Percy Fitzpatrick Inst, ZA-7701 Rondebosch, South Africa; Norwegian Inst Nat Res, N-7005 Trondheim, Norway</t>
  </si>
  <si>
    <t>University of Cambridge; University of Cape Town; Norwegian Institute Nature Research</t>
  </si>
  <si>
    <t>Brooke, MD (corresponding author), Univ Cambridge, Dept Zool, Downing St, Cambridge CB2 3EJ, England.</t>
  </si>
  <si>
    <t>10.1007/s004420050903</t>
  </si>
  <si>
    <t>245WT</t>
  </si>
  <si>
    <t>WOS:000083131600004</t>
  </si>
  <si>
    <t>Percival, CJ; Mössinger, JC; Cox, RA</t>
  </si>
  <si>
    <t>The uptake of HI and HBr on ice</t>
  </si>
  <si>
    <t>PHYSICAL CHEMISTRY CHEMICAL PHYSICS</t>
  </si>
  <si>
    <t>ANTARCTIC OZONE DEPLETION; HETEROGENEOUS REACTION; CIRRUS CLOUDS; HYDROGEN-CHLORIDE; WATER-ICE; HCL; SURFACES; CHEMISTRY; KINETICS; TEMPERATURES</t>
  </si>
  <si>
    <t>A low pressure flow system equipped with mass spectrometric detection has been employed to study the heterogeneous reactivity of HX (where X = I or Br) on solid ice; HX(g) + H2O(s) --&gt; products. HX uptake coefficients were measured on ice films with HX concentrations in the range (1-30) x 10(12) molecule cm(-3) and over the temperature range 200-233 K. The steady state reactive uptake coefficient for HI was found to be constant at T &gt; 212 K, gamma = 0.02 +/- 0.004 and for HBr gamma = 0.03 +/- 0.005, independent of concentrations used. Below 212 K a large increase in the rate of uptake of HX on ice was observed with gamma greater than or equal to 0.1 for both HI and HBr. The apparent increase in the reactivity of ice was attributed to an increase in the surface area due to the increased porosity of ice at lower temperatures.</t>
  </si>
  <si>
    <t>Univ Cambridge, Dept Chem, Ctr Atmospher Sci, Cambridge CB2 1EW, England</t>
  </si>
  <si>
    <t>University of Cambridge</t>
  </si>
  <si>
    <t>Univ Cambridge, Dept Chem, Ctr Atmospher Sci, Lensfield Rd, Cambridge CB2 1EW, England.</t>
  </si>
  <si>
    <t>Percival, Carl J/B-9353-2012</t>
  </si>
  <si>
    <t>Percival, Carl/0000-0003-2525-160X</t>
  </si>
  <si>
    <t>ROYAL SOC CHEMISTRY</t>
  </si>
  <si>
    <t>CAMBRIDGE</t>
  </si>
  <si>
    <t>THOMAS GRAHAM HOUSE, SCIENCE PARK, MILTON RD, CAMBRIDGE CB4 0WF, CAMBS, ENGLAND</t>
  </si>
  <si>
    <t>1463-9076</t>
  </si>
  <si>
    <t>1463-9084</t>
  </si>
  <si>
    <t>PHYS CHEM CHEM PHYS</t>
  </si>
  <si>
    <t>Phys. Chem. Chem. Phys.</t>
  </si>
  <si>
    <t>10.1039/a904651h</t>
  </si>
  <si>
    <t>240EV</t>
  </si>
  <si>
    <t>WOS:000082813700006</t>
  </si>
  <si>
    <t>Phleger, CF; Nichols, PD; Erb, E; Williams, R</t>
  </si>
  <si>
    <t>Lipids of the notothenioid fishes Trematomus spp. and Pagothenia borchgrevinki from East Antarctica</t>
  </si>
  <si>
    <t>TERRA-NOVA BAY; MCMURDO SOUND; FATTY-ACIDS; ROSS SEA; DIET; BUOYANCY; NEWNESI</t>
  </si>
  <si>
    <t>The notothenioid fishes Trematomus pennellii, T. newnesi, and T. bernacchii had 5-15% skeletal lipid, as percent dry weight, and this comprised 6-8% of the total body lipid. Trematomus hansoni and Pagothenia borchgrevinki had 2-4% skeletal lipid, which comprised 1% of total body lipid. Triacylglycerol was the major lipid class present in all tissues of all fish analyzed (up to 89% of total lipid), with minor components including sterol, phospholipid and wax esters. Monounsaturated fatty acids comprised 38.3-58.0% of the total fatty acids, and included primarily oleic [18:1(n-9)] and palmitoleic [16:1(n-7)] acids. Polyunsaturated fatty acids comprised 19.1-40.0% of the total fatty acids and included primarily eicosapentaenoic acid [20:5(n-3)] and docosahexaenoic acid [22: 6(n-3)]. These five notothenioid fishes, which include benthic, benthopelagic, and cryopelagic species, are lower in lipid than other important Southern Ocean fishes (such as the Patagonian toothfish) and are estimated to be negatively buoyant. These data will be of use to research groups presently using signature lipid methodology.</t>
  </si>
  <si>
    <t>San Diego State Univ, Dept Biol, San Diego, CA 92182 USA; CSIRO, Div Marine Res, Hobart, Tas 7001, Australia; Antarctic Div, Kingston, Tas 7050, Australia</t>
  </si>
  <si>
    <t>California State University System; San Diego State University; Commonwealth Scientific &amp; Industrial Research Organisation (CSIRO); Australian Antarctic Division</t>
  </si>
  <si>
    <t>San Diego State Univ, Dept Biol, San Diego, CA 92182 USA.</t>
  </si>
  <si>
    <t>phleger@sunstroke.sdsu.edu</t>
  </si>
  <si>
    <t>Nichols, Peter D/C-5128-2011</t>
  </si>
  <si>
    <t>1432-2056</t>
  </si>
  <si>
    <t>10.1007/s003000050416</t>
  </si>
  <si>
    <t>233JE</t>
  </si>
  <si>
    <t>WOS:000082423100003</t>
  </si>
  <si>
    <t>Bell, EM; Laybourn-Parry, J</t>
  </si>
  <si>
    <t>The plankton community of a young, eutrophic, Antarctic saline lake</t>
  </si>
  <si>
    <t>EASTERN ANTARCTICA; TEMPORAL PATTERNS; VESTFOLD HILLS; LAND</t>
  </si>
  <si>
    <t>A shallow, saline lake (Rookery Lake) close to the sea and surrounded by a penguin rookery was investigated during the austral spring and summer of 1996/1997. The proximity to the sea means that the lake is likely to have been formed recently during isostatic uplift. Inputs of carbon and nutrients from the penguin rookery have rendered Rookery Lake eutrophic compared with other brackish and saline lakes in the Vestfold Hills. Chlorophyll a concentration, bacterioplankton, heterotrophic nanoflagellate and phototrophic nanoflagellate abundances were all significantly higher than in other non-enriched lakes. The high productivity created seasonal anoxia during winter and spring below ice cover. The ciliate community resembled the marine community, and was dissimilar to that seen in older saline lakes within the Vestfold Hills. Thus Rockery Lake provides valuable evidence of the impact of natural eutrophication on an Antarctic lake, as well as of the evolution of the typical microbial community which dominates the older lakes of the Vestfold Hills.</t>
  </si>
  <si>
    <t>Univ Nottingham, Div Environm Sci, Sch Biol Sci, Loughborough LE12 5RD, Leics, England</t>
  </si>
  <si>
    <t>University of Nottingham</t>
  </si>
  <si>
    <t>Laybourn-Parry, J (corresponding author), Univ Nottingham, Div Environm Sci, Sch Biol Sci, Loughborough LE12 5RD, Leics, England.</t>
  </si>
  <si>
    <t>10.1007/s003000050417</t>
  </si>
  <si>
    <t>WOS:000082423100004</t>
  </si>
  <si>
    <t>Burghart, SE; Hopkins, TL; Vargo, GA; Torres, JJ</t>
  </si>
  <si>
    <t>Effects of a rapidly receding ice edge on the abundance, age structure and feeding of three dominant calanoid copepods in the Weddell Sea, Antarctica</t>
  </si>
  <si>
    <t>LIFE-CYCLE STRATEGIES; RHINCALANUS-GIGAS; SOUTHERN-OCEAN; SCOTIA SEA; PHYTOPLANKTON BLOOM; ACUTUS; WINTER; ZONE; PROPINQUUS; ZOOPLANKTON</t>
  </si>
  <si>
    <t>Open-water, marginal-ice and in-ice zones were sampled in the Weddell Sea during November and December, 1993 in an effort to examine the influence of the early spring bloom on the diet and population structure of the three biomass dominant copepods: Metridia gerlachei, Calanus propinquus, and Calanoides acutus. The abundance of all three species in the upper 200 m was highest at stations in the open water, but individually, each species displayed a unique trend. M. gerlachei, which showed the least variability, was significantly more abundant in open water than in the marginal-ice zone. The abundance of Calanus propinquus was higher in open water than in the marginal-ice zone or in the ice. Calanoides acutus displayed the highest variability, with significant differences between all three ice-cover zones. Diet analysis revealed no significant differences in the number of food items within each ice-cover zone and diatoms were the most numerous item identified in the guts of all three species. However, M. gerlachei and Calanus propinquus also contained metazoan material, while Calanoides acutus did not. There were dramatic differences in the age composition of the species between the zones. Early copepodite stages of all three species predominated at the ice edge and in open water. Numbers of M. gerlachei adult females were roughly equivalent in all three zones while Calanoides acutus and Calanus propinquus adult females composed a higher fraction of the total population within the ice. These results compare well with life-history data compiled by other authors and reinforce the importance of the ice edge to bloom-dependent Antarctic zooplankton.</t>
  </si>
  <si>
    <t>Univ S Florida, Dept Marine Sci, St Petersburg, FL 33701 USA</t>
  </si>
  <si>
    <t>State University System of Florida; University of South Florida</t>
  </si>
  <si>
    <t>Burghart, SE (corresponding author), Univ S Florida, Dept Marine Sci, 140 7Th Ave S, St Petersburg, FL 33701 USA.</t>
  </si>
  <si>
    <t>10.1007/s003000050421</t>
  </si>
  <si>
    <t>WOS:000082423100008</t>
  </si>
  <si>
    <t>Imae, N; Nakamuta, Y; Shinoda, K</t>
  </si>
  <si>
    <t>An experimental study of hydrous mineral formation by reaction between forsterite and water vapor</t>
  </si>
  <si>
    <t>PROCEEDINGS OF THE JAPAN ACADEMY SERIES B-PHYSICAL AND BIOLOGICAL SCIENCES</t>
  </si>
  <si>
    <t>hydration; forsterite; water vapor; serpentine; brucite; solar nebular chemistry</t>
  </si>
  <si>
    <t>SOLAR NEBULA</t>
  </si>
  <si>
    <t>An experimental study of hydrous mineral formation reaction between the synthetic forsterite and water vapor has been carried out with autoclaves at temperatures and pressures below the critical point. We succeeded in synthesizing hydrous minerals under these conditions for the first time. Patterns obtained by powder X-ray diffraction and with using a Gandolfi camera show that serpentine (chrysotile or lizardite), brucite and brucite-like material were formed by the hydration of forsterite. The reaction nearly obeys 2Fo + 3H(2)O(g) = 1Serp + 1Bru. The IR absorption spectra of the charge using Fourier transform infrared microspectrometer confirms the formation of hydrous phase since an absorption peak appeared at similar to 3690 cm(-1), which can be assigned to an absorption peak of the OH-bond. The rim thickness of the layer produced by the hydration of forsterite was estimated to be roughly 1 mu m after &gt;1000 hr, at 230 degrees C and a crater vapor pressure of 27 bar. The hydration rate is much smaller than that predicted theory.</t>
  </si>
  <si>
    <t>Natl Inst Polar Res, Antarctic Meteortie Res Ctr, Itabashi Ku, Tokyo 1738515, Japan; Kyushu Univ, Fac Sci, Fukuoka 8128581, Japan; Osaka City Univ, Fac Sci, Dept Geosci, Sumiyoshi Ku, Osaka 5588585, Japan</t>
  </si>
  <si>
    <t>Research Organization of Information &amp; Systems (ROIS); National Institute of Polar Research (NIPR) - Japan; Kyushu University; Osaka Metropolitan University</t>
  </si>
  <si>
    <t>Imae, N (corresponding author), Natl Inst Polar Res, Antarctic Meteortie Res Ctr, Itabashi Ku, 1-9-10 Kaga, Tokyo 1738515, Japan.</t>
  </si>
  <si>
    <t>JAPAN ACAD</t>
  </si>
  <si>
    <t>TOKYO</t>
  </si>
  <si>
    <t>7-32, UENO PARK, TAITO-KU, TOKYO, 110-0007, JAPAN</t>
  </si>
  <si>
    <t>0386-2208</t>
  </si>
  <si>
    <t>P JPN ACAD B-PHYS</t>
  </si>
  <si>
    <t>Proc. Jpn. Acad. Ser. B-Phys. Biol. Sci.</t>
  </si>
  <si>
    <t>10.2183/pjab.75.229</t>
  </si>
  <si>
    <t>257FJ</t>
  </si>
  <si>
    <t>WOS:000083771600001</t>
  </si>
  <si>
    <t>Vaughan, APM; Millar, IL; Thistlewood, L</t>
  </si>
  <si>
    <t>The Auriga Nunataks shear zone: Mesozoic transfer faulting and arc deformation in northwest Palmer Land, Antarctica</t>
  </si>
  <si>
    <t>TECTONICS</t>
  </si>
  <si>
    <t>WEST ANTARCTICA; MARBLE MYLONITES; THURSTON ISLAND; SIERRA-NEVADA; PENINSULA; AGE; PB; ZIRCON; PROPAGATION; INDICATORS</t>
  </si>
  <si>
    <t>The Auriga Nunataks shear zone places new tectonic and temporal constraints on the Mesozoic evolution of West Antarctica. The shear zone is a long-lived, are-orthogonal, ductile transfer fault that preserves a history of regional Mesozoic compressional basement deformation and extensional are pluton emplacement in the Antarctic Peninsula magmatic are. It forms an east-west trending positive flower structure 2.4 km wide, exposed along 5 km of strike. Marble, graphite-bearing pyroxene-granulite, granodiorite-diorite, amphibolite, and gabbro are deformed to mylonite and marble-hosted tectonic breccia. The Mesozoic history of the shear zone is interpreted as follows: emplacement of granodiorite-diorite at circa 206 Ma during Early Jurassic dextral transtension and metamorphism that peaked at circa 188 Ma (D-1), brecciation of marble and mylonitization of gneiss by Late Jurassic to Early Cretaceous sinistral shear during the peninsula-wide Palmer Land orogeny (D-2), Early Cretaceous dextral transtension with emplacement of gabbro and garnet leucogranite between 140 and 135 Ma (D-3), and mid-Cretaceous, ocean-vergent thrusting and sinistral transpression between 125 Ma and 80 Ma, with a peak at circa 110 Ma that folded, mylonitized, and brecciated preexisting plutonic and metamorphic rocks (D-4); this is responsible for the current geometry of the shear zone. The Auriga Nunataks shear zone transferred motion between are-parallel compressional and extensional structural elements and by hosting plutons appears to have acted like a leaky transform fault during episodes of regional extension.</t>
  </si>
  <si>
    <t>British Antarctic Survey, Cambridge CB3 0ET, England; Univ E Anglia, Sch Environm Sci, Ctr Environm Magnetism &amp; Palaeomagnetism, Norwich NR4 7TJ, Norfolk, England; British Antarctic Survey, NIGL, Nottingham NG12 5GG, England</t>
  </si>
  <si>
    <t>UK Research &amp; Innovation (UKRI); Natural Environment Research Council (NERC); NERC British Antarctic Survey; University of East Anglia; UK Research &amp; Innovation (UKRI); Natural Environment Research Council (NERC); NERC British Geological Survey; NERC British Antarctic Survey</t>
  </si>
  <si>
    <t>Vaughan, APM (corresponding author), British Antarctic Survey, High Cross,Madingley Rd, Cambridge CB3 0ET, England.</t>
  </si>
  <si>
    <t>Vaughan, Alan PM/B-7829-2010; Millar, Ian L/F-1541-2010</t>
  </si>
  <si>
    <t>0278-7407</t>
  </si>
  <si>
    <t>Tectonics</t>
  </si>
  <si>
    <t>10.1029/1999TC900008</t>
  </si>
  <si>
    <t>244GR</t>
  </si>
  <si>
    <t>WOS:000083043900011</t>
  </si>
  <si>
    <t>Wynn-Williams, DD</t>
  </si>
  <si>
    <t>Evolution on planet Earth: origins and achievements</t>
  </si>
  <si>
    <t>TRENDS IN ECOLOGY &amp; EVOLUTION</t>
  </si>
  <si>
    <t>DDWW@bas.ac.uk</t>
  </si>
  <si>
    <t>ELSEVIER SCIENCE LONDON</t>
  </si>
  <si>
    <t>84 THEOBALDS RD, LONDON WC1X 8RR, ENGLAND</t>
  </si>
  <si>
    <t>0169-5347</t>
  </si>
  <si>
    <t>1872-8383</t>
  </si>
  <si>
    <t>TRENDS ECOL EVOL</t>
  </si>
  <si>
    <t>Trends Ecol. Evol.</t>
  </si>
  <si>
    <t>10.1016/S0169-5347(99)01715-2</t>
  </si>
  <si>
    <t>Ecology; Evolutionary Biology; Genetics &amp; Heredity</t>
  </si>
  <si>
    <t>Environmental Sciences &amp; Ecology; Evolutionary Biology; Genetics &amp; Heredity</t>
  </si>
  <si>
    <t>235TL</t>
  </si>
  <si>
    <t>WOS:000082558600004</t>
  </si>
  <si>
    <t>Barlow, KE; Jones, G</t>
  </si>
  <si>
    <t>Roosts, echolocation calls and wing morphology of two phonic types of Pipistrellus pipistrellus</t>
  </si>
  <si>
    <t>ZEITSCHRIFT FUR SAUGETIERKUNDE-INTERNATIONAL JOURNAL OF MAMMALIAN BIOLOGY</t>
  </si>
  <si>
    <t>Pipistrellus pipistrellus; cryptic species; ultrasound; body size; ecomorphology</t>
  </si>
  <si>
    <t>BIG BROWN BATS; EPTESICUS-FUSCUS; SOCIAL-CALLS; INFORMATION-CENTERS; EMERGENCE BEHAVIOR; MYOTIS-YUMANENSIS; ACOUSTIC BEHAVIOR; CLIFF SWALLOWS; HORSESHOE BAT; HABITAT USE</t>
  </si>
  <si>
    <t>Variation in the number of bats in maternity roosts of two phonic types of P. pipistrellus was investigated. Also, bats of the two phonic types were caught at maternity roosts, and their wing morphology and echolocation calls studied, 45 kHz P. pipistrellus maternity roosts contained significantly fewer bats than 55 kHz Fl pipistrellus roosts. There was significant variation in mean frequency of maximum energy (FMAXE) of echolocation calls used by bats among roosts of 55 kHz P. pipistrellus. but not among roosts of 45 kHz P. pipistrellus. However, within each phonic type differences among roosts only accounted for a small proportion of the variation in echolocation call frequency; a much larger proportion was due to differences among individuals. Forearm length, an indicator of body size, was larger in 45 kHz P, pipistrellus than in 55 kHz P. pipistrellus, but there was no relationship between body size and geographic roost location in either phonic type. Variation in echolocation call frequency was not correlated with body size in either phonic type. Variation in echolocation call frequency among individuals may allow roost members to identify others in their group. but it is more likely to have evolved as a result of other influencing factors. Some variables of wing morphology differed between the two phonic types, but it is not clear how these differences relate to flight performance.</t>
  </si>
  <si>
    <t>British Antarctic Survey, Cambridge CB3 0ET, England; Sch Biol Sci, Bristol BS8 1UG, Avon, England</t>
  </si>
  <si>
    <t>UK Research &amp; Innovation (UKRI); Natural Environment Research Council (NERC); NERC British Antarctic Survey; University of Bristol</t>
  </si>
  <si>
    <t>Jones, Gareth/0000-0002-1904-3735</t>
  </si>
  <si>
    <t>0044-3468</t>
  </si>
  <si>
    <t>Z SAUGETIERKD</t>
  </si>
  <si>
    <t>Z. Saugetierkd.-Int. J. Mamm. Biol.</t>
  </si>
  <si>
    <t>254HP</t>
  </si>
  <si>
    <t>WOS:000083606100001</t>
  </si>
  <si>
    <t>Zachos, JC; Opdyke, BN; Quinn, TM; Jones, CE; Halliday, AN</t>
  </si>
  <si>
    <t>Early cenozoic glaciation, antarctic weathering, and seawater 87Sr/86Sr:: is there a link?</t>
  </si>
  <si>
    <t>CHEMICAL GEOLOGY</t>
  </si>
  <si>
    <t>early cenozoic glaciation; antarctic weathering; seawater</t>
  </si>
  <si>
    <t>SEDIMENTOLOGICAL EVIDENCE; ISOTOPIC COMPOSITION; STRONTIUM ISOTOPES; SOUTHERN-OCEAN; MIDDLE EOCENE; MAUD-RISE; ICE-SHEET; OLIGOCENE; CLIMATE; EROSION</t>
  </si>
  <si>
    <t>Stable and radiogenic isotopic and sedimentological data from sub-Antarctic deep sea sediment cores reveal a temporal link between changes in seawater Sr-87/Sr-86 ratios and major episodes of late Eocene-early Oligocene climate change. The Sr-87/Sr-86 records show two major inflections, one at 38-39 Ma near the middle/late Eocene boundary, followed by another at 33.4 Ma. Similarly, the oxygen isotope, ice-rafted debris, and clay assemblage records indicate two important climatic events: the appearance of alpine glaciers and/or small ice-sheets on Antarctica in the late Eocene at 38-39 Ma, followed by a rapid transition to larger and more permanent temperate ice-sheets in the early Oligocene at 33.4 Ma. Moreover, during the early Oligocene (30-33 Ma) three to four inferred peaks in glacial activity appear to coincide with subtle steps in the Sr-87/Sr-86 record. The coupled variations in climate and seawater Sr isotope ratios during the Eocene/Oligocene imply a strong causal link between the two. Either changes in climate directly influenced patterns of continental weathering and hence seawater chemistry, and/or a tectonic event (e.g., uplift) as reflected in weathering and seawater chemistry triggered relatively abrupt changes in global climate. (C) 1999 Elsevier Science B.V. All rights reserved.</t>
  </si>
  <si>
    <t>Univ Calif Santa Cruz, Dept Earth Sci, Santa Cruz, CA 95064 USA; Australian Natl Univ, Dept Geol, Canberra, ACT 0200, Australia; Univ S Florida, Dept Geosci, Tampa, FL 33620 USA; Univ N Carolina, Dept Geol, Chapel Hill, NC 27599 USA; Univ Michigan, Dept Geol Sci, Ann Arbor, MI 48109 USA</t>
  </si>
  <si>
    <t>University of California System; University of California Santa Cruz; Australian National University; State University System of Florida; University of South Florida; University of North Carolina; University of North Carolina Chapel Hill; University of Michigan System; University of Michigan</t>
  </si>
  <si>
    <t>Zachos, JC (corresponding author), Univ Calif Santa Cruz, Dept Earth Sci, 1156 High St, Santa Cruz, CA 95064 USA.</t>
  </si>
  <si>
    <t>jzachos@es.ucsc.edu</t>
  </si>
  <si>
    <t>Quinn, Terrence/A-5755-2008; Zachos, James/A-7674-2008</t>
  </si>
  <si>
    <t>Zachos, James/0000-0001-8439-1886</t>
  </si>
  <si>
    <t>0009-2541</t>
  </si>
  <si>
    <t>CHEM GEOL</t>
  </si>
  <si>
    <t>Chem. Geol.</t>
  </si>
  <si>
    <t>SEP 30</t>
  </si>
  <si>
    <t>1-3</t>
  </si>
  <si>
    <t>10.1016/S0009-2541(99)00085-6</t>
  </si>
  <si>
    <t>243XY</t>
  </si>
  <si>
    <t>WOS:000083023800009</t>
  </si>
  <si>
    <t>Geiger, FM; Tridico, AC; Hicks, JM</t>
  </si>
  <si>
    <t>Second harmonic generation studies of ozone depletion reactions on ice surfaces under stratospheric conditions</t>
  </si>
  <si>
    <t>JOURNAL OF PHYSICAL CHEMISTRY B</t>
  </si>
  <si>
    <t>NITRIC-ACID TRIHYDRATE; SUM-FREQUENCY GENERATION; LIQUID SULFURIC-ACID; HETEROGENEOUS REACTIONS; CHLORINE NITRATE; ANTARCTIC OZONE; 2ND-HARMONIC GENERATION; HYDROGEN-CHLORIDE; ARCTIC STRATOSPHERE; CLOUD SURFACES</t>
  </si>
  <si>
    <t>Hypochlorous acid, HOCl, an important species in the proposed heterogeneous mechanism for stratospheric ozone depletion, has been observed directly at submonolayer amounts on a single crystalline basal ice surface at 155-188 K, using the nonlinear optical method second harmonic generation. The ice is held in equilibrium with its vapor pressure. Second harmonic generation signals from 290 to 310 nm spectroscopically characterize the species and enable us to follow isothermal desorption kinetics in situ. HOCl desorbs as a single species with a Delta G*(des) = 48 +/- 4 kJ/mol, close to the cohesive energy of ice itself. The lifetime of HOCl on the clean ice surface at 185 K is estimated to be 4 s and the equilibrium surface coverage at 10(-11) Torr HOCl to be around 4 x 10(11) molecules/cm(2), corresponding to about 0.1% of a monolayer. However, these same measurements performed on ice predosed with varying amounts of HNO3 show that the HOCl lifetime is lengthened by coadsorbed HNO3, depending on the HNO3 surface density.</t>
  </si>
  <si>
    <t>Georgetown Univ, Dept Chem, Washington, DC 20057 USA</t>
  </si>
  <si>
    <t>Georgetown University</t>
  </si>
  <si>
    <t>Georgetown Univ, Dept Chem, Washington, DC 20057 USA.</t>
  </si>
  <si>
    <t>hicksj@gusun.georgetown.edu</t>
  </si>
  <si>
    <t>Geiger, Franz M./C-6950-2013</t>
  </si>
  <si>
    <t>1520-6106</t>
  </si>
  <si>
    <t>J PHYS CHEM B</t>
  </si>
  <si>
    <t>J. Phys. Chem. B</t>
  </si>
  <si>
    <t>10.1021/jp991559s</t>
  </si>
  <si>
    <t>Chemistry, Physical</t>
  </si>
  <si>
    <t>243RR</t>
  </si>
  <si>
    <t>WOS:000083011500003</t>
  </si>
  <si>
    <t>Jones, AE; Weller, R; Minikin, A; Wolff, EW; Sturges, WT; McIntyre, HP; Leonard, SR; Schrems, O; Bauguitte, S</t>
  </si>
  <si>
    <t>Oxidized nitrogen chemistry and speciation in the Antarctic troposphere</t>
  </si>
  <si>
    <t>CATALYTIC REDUCTION TECHNIQUE; PEROXYACETYL NITRATE PAN; ARCTIC TROPOSPHERE; NOY; PHOTOCHEMISTRY; ATMOSPHERE; OCEAN; SNOW; HNO3; AIR</t>
  </si>
  <si>
    <t>Understanding the NOy budget at high latitudes is important for our knowledge of present-day clean air chemistry and essential for reliable interpretation of existing ice core nitrate data. However, measurements of NOy components at high latitudes have been limited, and no measurements have attempted to address the budget of NOy. Here we report on a campaign conducted in the austral summer of 1997 at the German Antarctic research station, Neumayer, with first Antarctic measurements for NOy in addition to light alkyl nitrates, NO, HNO3 and p-NO3-. Inorganic nitrate has generally been assumed to be the dominant component of NOy in Antarctica, although this idea has not previously been tested. However, our results show that for this coastal station, methyl nitrate was present in much higher concentration than inorganic nitrate (median CH3ONO2 = 38 pptv, HNO3 = 5 pptv). It has been suggested earlier that some alkyl nitrates might have a marine source. If this suggestion is correct, the implication arises that the oceans are an important source of NOy to the Antarctic troposphere and that their role in determining nitrate concentrations in ice must be considered.</t>
  </si>
  <si>
    <t>British Antarctic Survey, NERC, Cambridge CB3 0ET, England; Alfred Wegener Inst Polar &amp; Marine Res, D-27570 Bremerhaven, Germany; Univ E Anglia, Norwich NR4 7TJ, Norfolk, England</t>
  </si>
  <si>
    <t>UK Research &amp; Innovation (UKRI); Natural Environment Research Council (NERC); NERC British Antarctic Survey; Helmholtz Association; Alfred Wegener Institute, Helmholtz Centre for Polar &amp; Marine Research; University of East Anglia</t>
  </si>
  <si>
    <t>ajones@bas.ac.uk</t>
  </si>
  <si>
    <t>Minikin, Andreas/A-3904-2011; Wolff, Eric W/D-7925-2014</t>
  </si>
  <si>
    <t>Wolff, Eric W/0000-0002-5914-8531; Minikin, Andreas/0000-0003-0999-4657</t>
  </si>
  <si>
    <t>SEP 20</t>
  </si>
  <si>
    <t>D17</t>
  </si>
  <si>
    <t>10.1029/1999JD900362</t>
  </si>
  <si>
    <t>238BC</t>
  </si>
  <si>
    <t>WOS:000082690200011</t>
  </si>
  <si>
    <t>Schauffler, SM; Atlas, EL; Blake, DR; Flocke, F; Lueb, RA; Lee-Taylor, JM; Stroud, V; Travnicek, W</t>
  </si>
  <si>
    <t>Distributions of brominated organic compounds in the troposphere and lower stratosphere</t>
  </si>
  <si>
    <t>ATMOSPHERIC METHYL-BROMIDE; OZONE DEPLETION POTENTIALS; VERTICAL-DISTRIBUTION; ANTARCTIC OZONE; DIBROMOMETHANE CH2BR2; TROPICAL TROPOPAUSE; WESTERN PACIFIC; CARBON-DIOXIDE; SOURCE GASES; CH3BR</t>
  </si>
  <si>
    <t>A comprehensive suite of brominated organic compounds was measured from whole air samples collected during the 1996 NASA Stratospheric Tracers of Atmospheric Transport aircraft campaign and the 1996 NASA Global Tropospheric Experiment Pacific Exploratory Mission-Tropics aircraft campaign. Measurements of individual species and total organic bromine were utilized to describe latitudinal and vertical distributions in the troposphere and lower stratosphere, fractional contributions to total organic bromine by individual species, fractional dissociation of the long-lived species relative to CFC-11, and the Ozone Depletion Potential of the halons and CH3Br. Spatial differences in the various organic brominated compounds were related to their respective sources and chemical lifetimes. The difference between tropospheric mixing ratios in the Northern and Southern Hemispheres for halons was approximately equivalent to their annual tropospheric growth rates, while the interhemispheric ratio of CH3Br was 1.18. The shorter-lived brominated organic species showed larger tropospheric mixing ratios in the tropics relative to midlatitudes, which may reflect marine biogenic sources. Significant vertical gradients in the troposphere were observed for the short-lived species with upper troposphere values 40-70% of the lower troposphere values. Much smaller vertical gradients (3-14%) were observed for CH3Br, and no significant vertical gradients were observed for the halons. Above the tropopause, the decrease in organic bromine compounds was found to have some seasonal and latitudinal differences. The combined losses of the individual compounds resulted in a loss of total organic bromine between the tropopause and 20 km of 38-40% in the tropics and 75-85% in midlatitudes. The fractional dissociation of the halons and CH3Br relative to CFC-11 showed latitudinal differences, with larger values in the tropics.</t>
  </si>
  <si>
    <t>Natl Ctr Atmospher Res, Boulder, CO 80307 USA; Univ Calif Irvine, Dept Chem, Irvine, CA 92616 USA</t>
  </si>
  <si>
    <t>National Center Atmospheric Research (NCAR) - USA; University of California System; University of California Irvine</t>
  </si>
  <si>
    <t>Natl Ctr Atmospher Res, POB 3000, Boulder, CO 80307 USA.</t>
  </si>
  <si>
    <t>sues@acd.ucar.edu; atlas@acd.ucar.edu; dblake@orion.oac.uci.edu; ffl@ucar.edu; julial@ucar.edu</t>
  </si>
  <si>
    <t>Flocke, Frank/AAD-1356-2019; Atlas, Elliot/J-8171-2015; Lee-Taylor, Julia M/B-7409-2008; Atlas, Elliot/AAE-4605-2021</t>
  </si>
  <si>
    <t>Flocke, Frank/0000-0002-2661-6394; Lee-Taylor, Julia M/0000-0003-0989-1113; Atlas, Elliot/0000-0003-3847-5346; Blake, Donald/0000-0002-8283-5014</t>
  </si>
  <si>
    <t>10.1029/1999JD900197</t>
  </si>
  <si>
    <t>WOS:000082690200021</t>
  </si>
  <si>
    <t>Nagar, VC; McDonald, MK; de Zafra, RL</t>
  </si>
  <si>
    <t>Ground-based measurements of stratospheric ClO over Spitzbergen in the Arctic spring of 1997</t>
  </si>
  <si>
    <t>MLS OBSERVATIONS; POLAR VORTEX; RADIATIVE-TRANSFER; OZONE DEPLETION; WINTER; CHLORINE; HNO3; ANTARCTICA; CIO</t>
  </si>
  <si>
    <t>We have measured stratospheric chlorine monoxide (ClO) at Ny Alesund (79 degrees N), on the Arctic island of Spitzbergen, during the spring of 1997 as part of a ground-based millimeterwave radiometer intercomparison campaign. The presence of ClO in the stratosphere is a direct result of the catalytic destruction of ozone by chlorine and can provide a good measure of this process. Spitzbergen remained well inside the strong, cold polar spring vortex of 1997 during most of our observation period, which ran from February 7 through March 17. Measurements show a strong enhancement of lower stratospheric ClO from mid-February through mid-March, in substantial agreement with other measurements, and consistent with increasing daily exposure to photolytic processes liberating active chlorine. A comparison of these results with ClO observations made at McMurdo Station (78 degrees S), Antarctica, during the austral spring of 1997 shows ClO amounts in the Arctic stratosphere that were comparable to Antarctic stratospheric values when temperatures and solar exposures were similar over a relatively short time.</t>
  </si>
  <si>
    <t>SUNY Stony Brook, Dept Phys &amp; Astron, Stony Brook, NY 11794 USA; SUNY Stony Brook, Inst Terr &amp; Planetary Atmospheres, Stony Brook, NY 11794 USA</t>
  </si>
  <si>
    <t>State University of New York (SUNY) System; State University of New York (SUNY) Stony Brook; State University of New York (SUNY) System; State University of New York (SUNY) Stony Brook</t>
  </si>
  <si>
    <t>SUNY Stony Brook, Dept Phys &amp; Astron, Stony Brook, NY 11794 USA.</t>
  </si>
  <si>
    <t>mike.mcdonals@DREO.dnd.ca; rdezafra@sunysb.edu</t>
  </si>
  <si>
    <t>10.1029/1999JD900355</t>
  </si>
  <si>
    <t>WOS:000082690200025</t>
  </si>
  <si>
    <t>Wang, JJ; Keyser, LF</t>
  </si>
  <si>
    <t>Kinetics of the Cl(p-2(J)+CH4 reaction:: Effects of secondary chemistry below 300 K</t>
  </si>
  <si>
    <t>EXCITED CHLORINE ATOMS; CL+CH4-&gt;HCL+CH3 REACTION; REACTION CL+CH4-&gt;CH3+HCL; ANTARCTIC STRATOSPHERE; ATMOSPHERIC GASES; REACTION CH4+CL; ETHYL RADICALS; METHANE; METHYL; PRESSURE</t>
  </si>
  <si>
    <t>Absolute rate data for the Cl(P-2(J)) + CH4 --&gt; HCl + CH3 reaction have been obtained from 218 to 298 K by using the discharge flow resonance fluorescence technique in helium at 1 Torr total pressure. The result at 298 K is (10.1 +/- 0.6) x 10(-14) cm(3) molecule(-1) s(-1). The temperature dependence in Arrhenius form is (6.5 +/- 0.9) x 10(-12) exp[(-1235 +/- 34)/T]. The errors given are one standard deviation; overall experimental error is estimated at +/-15%. Because of the relatively large disagreement among earlier measurements at low temperatures, the results were examined for possible effects of non-Boltzmann spin distribution and vibrational excitation of CH4, secondary chemistry of CH3 radicals, and impurities in the Cl atom and CH4 sources. There was no significant change in the observed rate constant when an efficient spin quencher, CF4, was added, and estimates indicate that vibrational partitioning in CH4 should be at the ambient reactor temperature before the start of the reaction. The results were also independent of the source of Cl atoms (microwave discharge or thermal decomposition of Cl-2) and whether CH4, was purified in situ. However, the observed rate constant did depend on initial Cl atom concentrations and to a lesser extent on CH4 concentrations. Numerical simulations were used to assess the importance of secondary chemistry over a range of reactant concentrations.</t>
  </si>
  <si>
    <t>CALTECH, Jet Prop Lab, Atmospher Chem element Earth &amp; Space Sci Div, Pasadena, CA 91109 USA</t>
  </si>
  <si>
    <t>National Aeronautics &amp; Space Administration (NASA); NASA Jet Propulsion Laboratory (JPL); California Institute of Technology</t>
  </si>
  <si>
    <t>Keyser, LF (corresponding author), CALTECH, Jet Prop Lab, Atmospher Chem element Earth &amp; Space Sci Div, 4800 Oak Grove Dr, Pasadena, CA 91109 USA.</t>
  </si>
  <si>
    <t>SEP 16</t>
  </si>
  <si>
    <t>10.1021/jp9913259</t>
  </si>
  <si>
    <t>238JH</t>
  </si>
  <si>
    <t>WOS:000082706800011</t>
  </si>
  <si>
    <t>Nadis, S</t>
  </si>
  <si>
    <t>Moves are afoot to probe the lake trapped beneath Antarctic ice</t>
  </si>
  <si>
    <t>NATURE</t>
  </si>
  <si>
    <t>MACMILLAN MAGAZINES LTD</t>
  </si>
  <si>
    <t>PORTERS SOUTH, 4 CRINAN ST, LONDON N1 9XW, ENGLAND</t>
  </si>
  <si>
    <t>0028-0836</t>
  </si>
  <si>
    <t>Nature</t>
  </si>
  <si>
    <t>10.1038/45647</t>
  </si>
  <si>
    <t>237VZ</t>
  </si>
  <si>
    <t>WOS:000082678400015</t>
  </si>
  <si>
    <t>Dafner, E; Sempéré, R; Yoro, SC; Agatova, A; Cauwet, G</t>
  </si>
  <si>
    <t>Application of the wet oxidation method for dissolved organic carbon analysis in the Southern Ocean</t>
  </si>
  <si>
    <t>COMPTES RENDUS DE L ACADEMIE DES SCIENCES SERIE II FASCICULE A-SCIENCES DE LA TERRE ET DES PLANETES</t>
  </si>
  <si>
    <t>dissolved organic carbon; Antarctic Ocean</t>
  </si>
  <si>
    <t>SEAWATER; SEA; ATLANTIC; WATERS; UV</t>
  </si>
  <si>
    <t>Results of dissolved organic carbon (DOC) measurements by wet photochemical oxidation method are presented for series of seawater samples collected from September-November 1995 in the Indian sector of Southern Ocean. DOC concentrations in Antarctic Surface Water (AASW) were 57 +/- 9 mu M C, and were about 48 +/- 10 and 46 +/- 6 mu M C in Circumpolar Deep Water (CDW) and in Antarctic Bottom Water (AABW), respectively. We also measured total organic carbon (TOC) by using the High Temperature Catalytic Oxidation technique and particulate organic carbon (POC) in AASW by using a CHN analyzer. In AASW TOC and POC concentrations were 49 +/- 3 mu M and 4 +/- 2 mu M C, respectively, whereas TOC concentrations averaged 42 +/- 3 in CDW and 37 +/- 1 in AABW. TI-le labile pool was estimated at 12 mu M C. (C) 1999 Academie des sciences.</t>
  </si>
  <si>
    <t>CNRS, Lab Microbiol Marine, Insu, F-13288 Marseille 9, France; Russian Fed Res Inst Fisheries &amp; Oceanog VNIRO, Moscow 107140, Russia; Lab Oceanog Biol, UMR 7621, Lab Arago, F-66651 Banyuls sur Mer, France</t>
  </si>
  <si>
    <t>Centre National de la Recherche Scientifique (CNRS); CNRS - National Institute for Earth Sciences &amp; Astronomy (INSU); Research lnstitute of Fisheries &amp; Oceanography; Centre National de la Recherche Scientifique (CNRS); CNRS - National Institute for Earth Sciences &amp; Astronomy (INSU)</t>
  </si>
  <si>
    <t>Sempéré, R (corresponding author), CNRS, Lab Microbiol Marine, Insu, EP 2032,Campus Luminy,Case 907, F-13288 Marseille 9, France.</t>
  </si>
  <si>
    <t>Sempere, Richard/ABE-9977-2020</t>
  </si>
  <si>
    <t>Sempere, Richard/0000-0002-2956-0998</t>
  </si>
  <si>
    <t>EDITIONS SCIENTIFIQUES MEDICALES ELSEVIER</t>
  </si>
  <si>
    <t>PARIS CEDEX 15</t>
  </si>
  <si>
    <t>23 RUE LINOIS, 75724 PARIS CEDEX 15, FRANCE</t>
  </si>
  <si>
    <t>1251-8050</t>
  </si>
  <si>
    <t>CR ACAD SCI II A</t>
  </si>
  <si>
    <t>Comptes Rendus Acad. Sci. Ser II-A</t>
  </si>
  <si>
    <t>SEP 15</t>
  </si>
  <si>
    <t>10.1016/S1251-8050(00)88585-7</t>
  </si>
  <si>
    <t>236VZ</t>
  </si>
  <si>
    <t>WOS:000082621100006</t>
  </si>
  <si>
    <t>Fukazawa, H; Mae, S; Ikeda, S; Watanabe, O</t>
  </si>
  <si>
    <t>Incoherent inelastic neutron scattering measurements on Dome-Fuji Antarctic ice</t>
  </si>
  <si>
    <t>Antarctic ice sheet; neutron methods; Queen Maud Land</t>
  </si>
  <si>
    <t>XI; DIFFRACTION; PHASE; RANGE; VIII; KOH; D2O</t>
  </si>
  <si>
    <t>We measured the incoherent inelastic neutron scattering (IINS) in ice (depth, 201-2201 m) recovered from Dome-Fuji (DF), Antarctica. We found that the peak intensity of librational vibration in the IINS spectra of DF ice changes with the ice temperature (T-i) in the ice sheet: the intensity at 97 meV decreases with increases in depth from 201 to 2201 m. From the IINS spectra, we calculated the T-i dependence of the order parameter (the ratio of ordered protons in ice), which is consistent with the theory of the order-disorder phase-transition from proton arrangements in ordinary ice to proton-ordered arrangements at T-i = 237 K. The results indicate that Antarctic ice in which T-i less than or equal to 237 K contains proton-ordered arrangements. (C) 1999 Elsevier Science B.V. All rights reserved.</t>
  </si>
  <si>
    <t>Hokkaido Univ, Fac Engn, Dept Appl Phys, Kita Ku, Sapporo, Hokkaido 0608628, Japan; KEK, High energy Accelerator Res Org, Inst Mat Struct Sci, Tsukuba, Ibaraki 305, Japan; Natl Inst Polar Res, Itabashi Ku, Tokyo 173, Japan</t>
  </si>
  <si>
    <t>Hokkaido University; High Energy Accelerator Research Organization (KEK); Research Organization of Information &amp; Systems (ROIS); National Institute of Polar Research (NIPR) - Japan</t>
  </si>
  <si>
    <t>Fukazawa, H (corresponding author), Hokkaido Univ, Fac Engn, Dept Appl Phys, Kita Ku, N13 W8, Sapporo, Hokkaido 0608628, Japan.</t>
  </si>
  <si>
    <t>10.1016/S0012-821X(99)00163-6</t>
  </si>
  <si>
    <t>232MH</t>
  </si>
  <si>
    <t>WOS:000082374200015</t>
  </si>
  <si>
    <t>Weller, R; Minikin, A; König-Langlo, G; Schrems, O; Jones, AE; Wolff, EW; Anderson, PS</t>
  </si>
  <si>
    <t>Investigating possible causes of the observed diurnal variability in Antarctic NOy</t>
  </si>
  <si>
    <t>BOUNDARY-LAYER; ICE; GREENLAND; HNO3</t>
  </si>
  <si>
    <t>The occurence of a diurnal variability in measured total oxidised nitrogen (NOy) was observed at Neumayer, Antarctica, (70 degrees 39'8, 8 degrees 15'W) during a recent summer measurement campaign. Minima and maxims occurred in the early morning/early evening respectively, with the amplitude of the cycle around 40% of the daily mean NOy values. Given that this campaign was the first to attempt NOy measurements on the Antarctic continent, it is not presently clear whether this is an Antarctic-wide phenomenon, or local to Neumayer. A similar cycle was observed for HNO3, although HNO3 concentrations and fluctuations are too small to account for all of the NOy variability. In this paper we investigate possible mechanisms that might cause such diurnal signals, focussing on the influence of local meteorology and also of the snowpack. Exchange processes at the air/snow interface appear to dominate the observed NOy variability, although an influence from the changing surface inversion strength exists. These findings have important implications in understanding and hence correctly interpreting ice core nitrate data.</t>
  </si>
  <si>
    <t>Alfred Wegener Inst Polar &amp; Marine Res, D-27570 Bremerhaven, Germany; British Antarctic Survey, NERC, Cambridge CB3 0ET, England</t>
  </si>
  <si>
    <t>Weller, R (corresponding author), Alfred Wegener Inst Polar &amp; Marine Res, D-27570 Bremerhaven, Germany.</t>
  </si>
  <si>
    <t>Minikin, Andreas/A-3904-2011; Wolff, Eric W/D-7925-2014; Konig-Langlo, Gert/K-5048-2012</t>
  </si>
  <si>
    <t>Wolff, Eric W/0000-0002-5914-8531; Konig-Langlo, Gert/0000-0002-6100-4107; Minikin, Andreas/0000-0003-0999-4657</t>
  </si>
  <si>
    <t>10.1029/1999GL900608</t>
  </si>
  <si>
    <t>237WV</t>
  </si>
  <si>
    <t>WOS:000082680300019</t>
  </si>
  <si>
    <t>Sedwick, PN; DiTullio, GR; Hutchins, DA; Boyd, PW; Griffiths, FB; Crossley, AC; Trull, TW; Quéguiner, B</t>
  </si>
  <si>
    <t>Limitation of algal growth by iron deficiency in the Australian Subantarctic region</t>
  </si>
  <si>
    <t>SOUTHERN-OCEAN; PACIFIC; WATERS</t>
  </si>
  <si>
    <t>In March 1998 we measured iron in the upper water column and conducted iron- and nutrient-enrichment bottle-incubation experiments in the open-ocean Subantarctic region southwest of Tasmania, Australia. In the Subtropical Convergence Zone (similar to 42 degrees 5, 142 degrees E), silicic acid concentrations were low (&lt;1.5 mu M) in the upper water column, whereas pronounced vertical gradients in dissolved iron concentration (0.12-0.84 nM) were observed, presumably reflecting the interleaving of Subtropical and Subantarctic waters, and mineral aerosol input. Results of a bottle-incubation experiment performed at this location indicate that phytoplankton growth rates were limited by iron deficiency within the iron-poor layer of the euphotic zone. In the Subantarctic water mass (similar to 46.8 degrees S, 142 degrees E), low concentrations of dissolved iron (0.05-0.11 nM) and silicic acid (&lt;1 mu M) were measured throughout the upper water column, and our experimental results indicate that algal growth was limited by iron deficiency. These observations suggest that availability of dissolved iron is a primary factor limiting phytoplankton growth over much of the Subantarctic Southern Ocean in the late summer and autumn.</t>
  </si>
  <si>
    <t>Antarctic CRC, Hobart, Tas 7001, Australia; Univ Otago, Dept Chem, NIWA Ctr Chem &amp; Phys Oceanog, Dunedin 9001, New Zealand; Univ Charleston, Grice Marine Lab, Charleston, SC 29412 USA; Univ Delaware, Coll Marine Studies, Lewes, DE 19958 USA; CSIRO, Div Marine Res, Hobart, Tas 7001, Australia; Univ Tasmania, Inst Antarctic &amp; So Ocean Studies, Hobart, Tas 7001, Australia; Fac Sci Luminy, Ctr Oceanol Marseille, CNRS, FR 6106, F-13288 Marseille 09, France</t>
  </si>
  <si>
    <t>University of Otago; College of Charleston; University of Delaware; Commonwealth Scientific &amp; Industrial Research Organisation (CSIRO); University of Tasmania; Aix-Marseille Universite; Centre National de la Recherche Scientifique (CNRS)</t>
  </si>
  <si>
    <t>Antarctic CRC, GPO Box 252-80, Hobart, Tas 7001, Australia.</t>
  </si>
  <si>
    <t>P.Sedwick@utas.edu.au; DiTullioj@cofc.edu; dahutch@UDel.Edu; pboyd@alkali.otago.ac.nz; Brian.Griffiths@marine.csiro.au; Clive.Crossley@utas.edu.au; Tom.Trull@utas.edu.au; Bernard.Queguiner@com.univ-mrs.fr</t>
  </si>
  <si>
    <t>Quéguiner, Bernard/B-4060-2008; Trull, Tom W/B-7028-2014; Hutchins, David A/D-3301-2013; Boyd, Philip/J-7624-2014</t>
  </si>
  <si>
    <t>Quéguiner, Bernard/0000-0001-5020-8297; Hutchins, David A/0000-0002-6637-756X; Sedwick, Peter/0000-0003-0663-8323; Boyd, Philip/0000-0001-7850-1911</t>
  </si>
  <si>
    <t>1944-8007</t>
  </si>
  <si>
    <t>10.1029/1998GL002284</t>
  </si>
  <si>
    <t>Bronze, Green Published</t>
  </si>
  <si>
    <t>WOS:000082680300022</t>
  </si>
  <si>
    <t>Naganobu, M; Kutsuwada, K; Sasai, Y; Taguchi, S; Siegel, V</t>
  </si>
  <si>
    <t>Relationships between Antarctic krill (Euphausia superba) variability and westerly fluctuations and ozone depletion in the Antarctic Peninsula area</t>
  </si>
  <si>
    <t>SEA-ICE EXTENT; SOUTHERN-OCEAN; SCOTIA SEA; PHYTOPLANKTON; RECRUITMENT; DISTRIBUTIONS; HYDROGRAPHY; GEORGIA; ISLANDS; DENSITY</t>
  </si>
  <si>
    <t>An assessment of the environmental processes influencing variability in the recruitment and density of Antarctic krill (Euphasia superba) is important, as variability in krill stocks affects the Antarctic marine ecosystem as a whole. We have assessed variability in krill recruitment and density with hypothesized environmental, factors, including strength of westerly winds (westerlies) determined from sea level pressure differences across the Drake Passage, sea ice cover, and ozone depletion. We found a significant positive correlation between krill recruitment in the Antarctic Peninsula area and the strength of westerlies during 1982-1998. Years with strong westerlies during the austral summer season resulted in high krill recruitment in 1987/1988, 1990/1991, and 1994/1995, while the years of weak westerlies resulted in low krill recruitment in 1982/1983, 1988/1989, 1992/1993, and 1996/1997. The strength of westerlies was significantly related to recruitment of 1-year-old krill (r = 0.57) and 2-year-old krill (r = 0.69) with a level of significance of 5%. In addition, the strength of westerlies also had a strong correlation with chlorophyll a (r = 0.63) and sea ice cover with a 1-year time lag (r = 0.67). The strength of westerlies is considered to be a key environmental factor. We also found significant correlations between krill density in the Antarctic Peninsula area and the Antarctic ozone depletion parameters during 1977-1997 (e.g., total ozone in October at Faraday/Vernadsky Station of I = 0.76 with a level of significance of 1%). We suspect that ozone depletion impacts directly and/or indirectly on the variability in krill density.</t>
  </si>
  <si>
    <t>Natl Res Inst Far Sea Fisheries, Shimizu, Shizuoka 4248633, Japan; Tokai Univ, Sch Marine Sci &amp; Technol, Shimizu, Shizuoka 4248610, Japan; Hokkaido Univ, Grad Sch Environm Earth Sci, Kita Ku, Sapporo, Hokkaido 0600810, Japan; Seafisheries Res Inst, D-22767 Hamburg, Germany; Soka Univ, Dept Bioengn, Tokyo 1928577, Japan</t>
  </si>
  <si>
    <t>Japan Fisheries Research &amp; Education Agency (FRA); Tokai University; Hokkaido University; Soka University</t>
  </si>
  <si>
    <t>Naganobu, M (corresponding author), Natl Res Inst Far Sea Fisheries, 5-7-1 Orido, Shimizu, Shizuoka 4248633, Japan.</t>
  </si>
  <si>
    <t>naganobu@enyo.affrc.go.jp; kkutsu@scc.u-tokai.ac.jp; sasai@eoas.hokudai.ac.jp; staguchi@t.soka.ac.jp; siegel.ish@bfa-fisch.de</t>
  </si>
  <si>
    <t>C9</t>
  </si>
  <si>
    <t>10.1029/1999JC900136</t>
  </si>
  <si>
    <t>251YD</t>
  </si>
  <si>
    <t>WOS:000083473200011</t>
  </si>
  <si>
    <t>Uddstrom, MJ; Oien, NA</t>
  </si>
  <si>
    <t>On the use of high-resolution satellite data to describe the spatial and temporal variability of sea surface temperatures in the New Zealand region</t>
  </si>
  <si>
    <t>ANTARCTIC CIRCUMPOLAR CURRENT; EAST AUCKLAND CURRENT; SOUTHWEST PACIFIC; TASMAN FRONT; OCEAN; CIRCULATION; IMAGERY; CLIMATOLOGIES; ISLAND; TIME</t>
  </si>
  <si>
    <t>A new high-resolution (1.1 km) regional data set of satellite-derived sea surface temperatures (SST) is developed and validated against drifting and moored buoy data. Analysis of 5 years of monthly means and related statistics suggests that there is often a coherent relationship between the SST patterns and oceanographic features. identifiable relationships are detailed, then used to indicate the temporal and spatial characteristics of watermasses, fronts, and currents. For example, a gradient analysis suggests that the Subtropical Front east of New Zealand (and west of 177 degrees W) is bathymetrically locked to the southern flank of the Chatham Rise (near 44 degrees S). Beyond 177 degrees W it loops southward to a mean position close to 47 degrees S on the northern edge of the Bounty Plateau, adjacent to the Subantarctic Front (near 48 degrees S). Harmonic analysis of the 60 months of data suggests that spatial variability in the amplitude of the SST annual cycle is related to circulation (water mass) features and varies from less than 1 degrees C in Subantarctic Waters to more than 4 degrees C in New Zealand nearshore neritic waters. The Antarctic Circumpolar, East Auckland, and East Cape Currents also display coherent annual cycle amplitude signatures that differ from adjacent water masses. However, the amplitude of the annual cycle in Subantarctic Waters south of the Chatham Rise and north of the Pukaki Rise and Bounty Plateau is significantly different from that of this water mass at other (similar) latitudes. An empirical orthogonal function (EOF) analysis of seasonal anomalies shows that 90% of SST variance can be associated with the annual cycle. However, four EOFs are required to explain 50% of the variance in SST monthly anomalies. The first of these (25.4% of the variance) indicates that anomalies north and east of New Zealand are negatively correlated with those in the Subantarctic. The second EOF represents a Tasman Sea mode and suggests that the Tasman Sea has been in a warming phase since December 1996 (to at least April 1998). This might explain the exceptional size (and sign) of the SST anomaly in New Zealand waters during the 1998 Fl Nino, where in February 1998 it reached +3.5 degrees C in northern New Zealand waters, similar to the amplitude of the annual cycle.</t>
  </si>
  <si>
    <t>Natl Inst Water &amp; Atmospher Res, Wellington, New Zealand</t>
  </si>
  <si>
    <t>National Institute of Water &amp; Atmospheric Research (NIWA) - New Zealand</t>
  </si>
  <si>
    <t>Uddstrom, MJ (corresponding author), Natl Inst Water &amp; Atmospher Res, POB 14 901, Wellington, New Zealand.</t>
  </si>
  <si>
    <t>m.uddstrom@niwa.cri.nz; oien@ucar.edu</t>
  </si>
  <si>
    <t>10.1029/1999JC900167</t>
  </si>
  <si>
    <t>WOS:000083473200017</t>
  </si>
  <si>
    <t>Vogeler, A; Schröter, J</t>
  </si>
  <si>
    <t>Fitting a regional ocean model with adjustable open boundaries to TOPEX/POSEIDON data</t>
  </si>
  <si>
    <t>ANTARCTIC CIRCUMPOLAR CURRENT; QUASI-GEOSTROPHIC MODEL; DATA ASSIMILATION; ADJOINT METHOD; NUMERICAL EXPERIMENTS; GENERAL-CIRCULATION; SOUTHERN-OCEAN; ALTIMETER DATA; HEAT-FLUX; ALGORITHMS</t>
  </si>
  <si>
    <t>TOPEX/POSEIDON altimeter data referenced to geoid JGM2 are assimilated into an eddy-resolving quasi-geostrophic ocean model. The location of the model domain is the African sector of the Antarctic Circumpolar Current. All lateral boundaries of the model domain are open. The model has three layers, a spatial resolution of approximately 20 km and realistic bottom topography. The adjoint method (4DVAR) is used to optimize control variables which are the initial state of the stream;function and the time dependent boundary values of the stream function and the relative vorticity. Both the numerical implementation of the model and the assimilation method are formulated such that the model can be placed in any ocean location without difficulties. A two-step procedure is applied where first the initial values are optimized. In the second step the time dependent boundary values are adjusted for assimilation periods which are several times longer than the decorrelation times of the initial field. A number of experiments are reported with assimilation periods of different length up to 60 days. For short assimilation periods the error can be reduced from a first guess error of 34 cm root mean square to 5 cm. However, our results indicate that in a long time limit the lowest achievable error lies between 10 and 12 cm. This seems to be due to the model's inability to represent the dynamics of the data sufficiently well.</t>
  </si>
  <si>
    <t>Vogeler, A (corresponding author), Alfred Wegener Inst Polar &amp; Marine Res, Handelshafen 12,Postfach 12 01 61, D-27515 Bremerhaven, Germany.</t>
  </si>
  <si>
    <t>jschroeter@awi-bremerhaven.de</t>
  </si>
  <si>
    <t>Schröter, Jens G/H-8806-2016</t>
  </si>
  <si>
    <t>Schröter, Jens G/0000-0002-9240-5798</t>
  </si>
  <si>
    <t>10.1029/98JC02371</t>
  </si>
  <si>
    <t>WOS:000083473200020</t>
  </si>
  <si>
    <t>Coatanoan, C; Metzl, N; Fieux, M; Coste, B</t>
  </si>
  <si>
    <t>Seasonal water mass distribution in the Indonesian throughflow entering the Indian Ocean</t>
  </si>
  <si>
    <t>OPTIMUM MULTIPARAMETER ANALYSIS; INDO-PACIFIC THROUGHFLOW; THERMOCLINE CIRCULATION; HYDROGRAPHIC SECTION; EQUATORIAL PACIFIC; MINDANAO CURRENT; SCALE; BASINS; INTERMEDIATE; VARIABILITY</t>
  </si>
  <si>
    <t>A multiparametric approach is used to analyze the seasonal properties of water masses in the eastern Indian Ocean. The data were measured during two cruises of the Java Australia Dynamic Experiment (JADE) program carried out during two opposite seasons: August 1989 (SE monsoon) and February-March 1992 (NW monsoon). These cruises took place at the end of a La Nina event and during an EI. Nino episode, respectively. Seven sources have been identified in the studied region for the 200-800 m layer: the Subtropical Indian Water, the Indian Central Water, the modified Antarctic Intermediate Water, the Indonesian Subsurface Water, the Indonesian Intermediate Water, the Arabian Sea-Persian Gulf Water (AS-PGW), and the Arabian Sea-Red Sea Water (AS-RSW). The selected tracers are potential temperature, salinity and oxygen with mass conservation and positive mixing coefficients as constraints. The analysis indicates the proportion of each water source along the Australia-Pall section and into the Indonesian channels. Although no large changes are observed for Indonesian waters, significant seasonal variations are found for the southern and northern Indian Ocean water. During the NW monsoon, the contribution of the AS-RSW increases at the entrance of the Indonesian archipelago whereas the contribution of the south Indian waters decreases in the northwest Australia basin. In a complementary study, nutrients are introduced into the multiparametric analysis in order to more clearly separate the signature of the north Indian waters (AS-PGW, AS-RSW) and to provide supplementary information on the biological history of the water masses, which is compared to large-scale primary production estimates.</t>
  </si>
  <si>
    <t>CNRS, Ctr Oceanol Marseille, Lab Oceanog &amp; Biogeochim, F-13288 Marseille, France; Univ Paris 06, UPMC, ORSTOM, CNRS,Lab Oceanog Dynam &amp; Climatol, F-75252 Paris 05, France; Univ Paris 06, CNRS, INSU, Phys &amp; Chim Marines Lab, F-75252 Paris 05, France</t>
  </si>
  <si>
    <t>Centre National de la Recherche Scientifique (CNRS); Institut de Recherche pour le Developpement (IRD); Centre National de la Recherche Scientifique (CNRS); Sorbonne Universite; Centre National de la Recherche Scientifique (CNRS); CNRS - National Institute for Earth Sciences &amp; Astronomy (INSU); Sorbonne Universite</t>
  </si>
  <si>
    <t>Woods Hole Oceanog Inst, Dept Marine Chem &amp; Geochem, 360 Woods Hole Rd,MS 25, Woods Hole, MA 02543 USA.</t>
  </si>
  <si>
    <t>ccoatanoan@whoi.edu; metzl@ccr.jussieu.fr; mf@lodyc.jussieu.fr; coste@com.univ-mrs.fr</t>
  </si>
  <si>
    <t>Coatanoan, Christine C/A-4497-2010</t>
  </si>
  <si>
    <t>COATANOAN, Christine/0000-0001-9387-1793; metzl, nicolas/0000-0002-1165-1074</t>
  </si>
  <si>
    <t>10.1029/1999JC900129</t>
  </si>
  <si>
    <t>WOS:000083473200021</t>
  </si>
  <si>
    <t>Stramma, L; England, MH</t>
  </si>
  <si>
    <t>On the water masses and mean circulation of the South Atlantic Ocean</t>
  </si>
  <si>
    <t>ANTARCTIC INTERMEDIATE WATER; WESTERN BOUNDARY CURRENT; TOTAL GEOSTROPHIC CIRCULATION; TROPICAL ATLANTIC; WORLD OCEAN; GENERAL-CIRCULATION; FLOW PATTERNS; BOTTOM WATER; UPPER-LAYER; MODEL</t>
  </si>
  <si>
    <t>We examine recent observations of water mass distribution and circulation schemes at different depths of the South Atlantic Ocean to propose a layered, qualitative representation of the mean distribution of flow in this region. This furthers the simple upper layer geostrophic flow estimates of Peterson and Stramma [1991]. In addition, we assess how well ocean general circulation models (GCMs) capture the overall structure of flow in the South Atlantic in this regard. The South Atlantic Central Water (SACW) is of South Atlantic origin in the subtropical gyre, while the SACW in the tropical region in part originates from the South Indian Ocean. The Antarctic Intermediate Water in the South Atlantic originates from a surface region of the circumpolar layer, especially in the northern Drake Passage and the Falkland Current loop, but also receives some water from the Indian Ocean. The subtropical South Atlantic above the North Atlantic Deep Water and north of the Antarctic Circumpolar Current (ACC) is dominated by the anticyclonic subtropical gyre. In the eastern tropical South Atlantic the cyclonic Angola Gyre exists, embedded in a large tropical cyclonic gyre. The equatorial part of the South Atlantic shows several depth-dependent zonal current bands besides the Angola Gyre. Ocean GCMs have difficulty capturing this detailed zonal circulation structure, even at eddy-permitting resolution. The northward extent of the subtropical gyre reduces with increasing depth, located near Brazil at 16 degrees S in the near-surface layer and at 26 degrees S in the Antarctic Intermediate Water layer, while the tropical cyclonic gyre progresses southward. The southward shift of the northern part of the subtropical gyre is well resolved in global ocean GCMs. However, high horizontal resolution is required to capture the South Atlantic Current north of the ACC. The North Atlantic Deep Water in the South Atlantic progresses mainly southward in the Deep Western Boundary Current, but some water also moves southward at the eastern boundary.</t>
  </si>
  <si>
    <t>Univ Kiel, Inst Meereskunde, D-24105 Kiel, Germany; Univ New S Wales, Sch Math, Ctr Environm Modelling &amp; Predict, Sydney, NSW 2052, Australia</t>
  </si>
  <si>
    <t>University of Kiel; University of New South Wales Sydney</t>
  </si>
  <si>
    <t>Univ Kiel, Inst Meereskunde, Dusternbrooker Weg 20, D-24105 Kiel, Germany.</t>
  </si>
  <si>
    <t>lstramma@ifm.uni-kiel.de; mat-thew@maths.unsw.EDU.AU</t>
  </si>
  <si>
    <t>England, Matthew/A-7539-2011</t>
  </si>
  <si>
    <t>England, Matthew/0000-0001-9696-2930; Stramma, Lothar/0000-0003-1391-4808</t>
  </si>
  <si>
    <t>10.1029/1999JC900139</t>
  </si>
  <si>
    <t>WOS:000083473200026</t>
  </si>
  <si>
    <t>de Ruijter, WPM; Biastoch, A; Drijfhout, SS; Lutjeharms, JRE; Matano, RP; Pichevin, T; van Leeuwen, PJ; Weijer, W</t>
  </si>
  <si>
    <t>Indian-Atlantic interocean exchange: Dynamics, estimation and impact</t>
  </si>
  <si>
    <t>ANTARCTIC INTERMEDIATE WATER; AGULHAS CURRENT SYSTEM; OCEAN GENERAL-CIRCULATION; WIND-DRIVEN CIRCULATION; SOUTH-ATLANTIC; NUMERICAL-MODEL; HEAT FLUXES; THERMOHALINE CIRCULATION; BENGUELA CURRENT; ALTIMETER DATA</t>
  </si>
  <si>
    <t>Interocean exchange of heat and salt around South Africa is thought to be a key link in the maintenance of the global overturning circulation of the ocean. It takes place at the Agulhas Retroflection, largely by the intermittent shedding of enormous rings that penetrate into the South Atlantic Ocean. This makes it extremely hard to estimate the inter ocean fluxes. Estimates of direct Agulhas leakage from hydrographic and tracer data range between 2 and 10 Sv (1 Sv = 10(6) m(3)s(-1)). The average ring shedding frequency, determined from satellite information, is approximately six rings per year. Their associated interocean volume transport is between 0.5 and 1.5 Sv per ring. A number of Agulhas rings have been observed to cross the South Atlantic. They decay exponentially to less than half their initial size (measured by their available potential energy) within 1000 km from the shedding region. Consequently, most of their properties mix into the surroundings of the Benguela region, probably feeding directly into the upper (warm) limb of the global thermohaline circulation. The most recent observations suggest that in the present situation Agulhas water and Antarctic Intermediate Water are about equally important sources for the Benguela Current. Variations in the strength of these may lead to anomalous stratification and stability of the Atlantic at decadal and longer timescales. Modeling studies suggest that the Indian-Atlantic interocean exchange is strongly related to the structure of the wind field over the South Indian Ocean. This leads in the mean to a subtropical supergyre wrapping around the subtropical gyres of the South Indian and Atlantic Oceans. However, local dynamical processes in the highly nonlinear regime around South Africa play a crucial role in inhibiting the connection between the two oceans. The regional bottom topography also seems to play an important role in locking the Agulhas Currents' retroflection. State-of-the-art global and regional eddy-permitting models show a reasonably realistic representation of the mean Agulhas system; but the mesoscale variability and the local geometrical and topographic features that determine largely the interocean fluxes still need considerable improvement. In this article we present a review of the above mentioned aspects of the interocean exchange around South Africa: the estimation of the fluxes into the South Atlantic from different types of observations, our present level of understanding of the exchanges dynamics and forcing, its representation in state-of-the-art models, and, finally, the impact of the Indian-Atlantic fluxes on regional and global scale both within the Atlantic Ocean and in interaction with the overlying atmosphere.</t>
  </si>
  <si>
    <t>Univ Utrecht, Inst Marine &amp; Atmospher Res, NL-3508 TA Utrecht, Netherlands; Inst Meereskunde, D-24105 Kiel, Germany; KNMI, NL-3730 AE De Bilt, Netherlands; Univ Cape Town, Dept Oceanog, ZA-7700 Cape Town, South Africa; Oregon State Univ, Coll Ocean &amp; Atmospher Sci, Corvallis, OR 97331 USA; Serv Hydrog &amp; Oceanog Marine, F-29275 Brest, France</t>
  </si>
  <si>
    <t>Utrecht University; Royal Netherlands Meteorological Institute; University of Cape Town; Oregon State University</t>
  </si>
  <si>
    <t>Univ Utrecht, Inst Marine &amp; Atmospher Res, POB 80-005, NL-3508 TA Utrecht, Netherlands.</t>
  </si>
  <si>
    <t>abiastoch@ifm.uni-kiel.de; s.s.drijfhout@knmi.nl; johann@physci.uct.ac.za; rmatano@oce.orst.edu; pichevin@shom.fr; leeuwen@phys.uu.nl; weijer@phys.uu.nl</t>
  </si>
  <si>
    <t>van Leeuwen (Note: publication and review record are incomplete! Don't use this as a source for anything), Peter Jan/A-1271-2010; de Ruijter, Wilhelmus/I-2541-2016; Weijer, Wilbert/AAT-3247-2021; Drijfhout, Sybren/I-4230-2016; Biastoch, Arne/B-5219-2014; Weijer, Wilbert/A-7909-2010</t>
  </si>
  <si>
    <t>van Leeuwen (Note: publication and review record are incomplete! Don't use this as a source for anything), Peter Jan/0000-0003-2325-5340; Weijer, Wilbert/0000-0002-5654-562X; Biastoch, Arne/0000-0003-3946-4390; Weijer, Wilbert/0000-0002-5654-562X; Drijfhout, Sybren/0000-0001-5325-7350</t>
  </si>
  <si>
    <t>10.1029/1998JC900099</t>
  </si>
  <si>
    <t>Bronze, Green Accepted</t>
  </si>
  <si>
    <t>WOS:000083473200027</t>
  </si>
  <si>
    <t>Oudot, C; Ternon, JF; Andrié, C; Braga, ES; Morin, P</t>
  </si>
  <si>
    <t>On the crossing of the equator by intermediate water masses in the western Atlantic Ocean:: Identification and pathways of Antarctic Intermediate Water and Upper Circumpolar Water</t>
  </si>
  <si>
    <t>TOTAL GEOSTROPHIC CIRCULATION; UPPER-LAYER CIRCULATION; SOUTH-ATLANTIC; TROPICAL ATLANTIC; FLOW PATTERNS; TRANSPORTS; COUNTERCURRENT; DISTRIBUTIONS; THERMOCLINE; CURRENTS</t>
  </si>
  <si>
    <t>The flow of intermediate water masses across the equator in the Atlantic Ocean is of fundamental interest in the context of the global meridional circulation cell associated with the formation of the North Atlantic Deep Water. This paper describes the flow and pathways of the Antarctic Intermediate Water (AAIW) and the Upper Circumpolar Water (UCPW) at between 500- and 1200-m depths in the western equatorial Atlantic (5 degrees S - 7 degrees 30'N). These have been deduced from hydrological and geochemical tracer (nutrients and chlorofluorocarbons) data sets from CITHER 1 (RN L'Atalnte, January-March 1993), ETAMBOT 1 (RN Le Noroit, September-October 1995), and ETAMBOT 2 (RN Edwin Link, April-May 1996) cruises. Both the AAIW and UCPW enter, on the isopycnals sigma(theta) = 27.25 (676 +/- 36 dbar) and sigma(theta) = 27.40 (919 +/- 35 dbar), respectively, the equatorial belt as narrow, northwestward flows around the northeast tip of Brazil near 5 degrees S. During transit within this zone the core properties of UCPW erode more than those of AAIW. Flow patterns of both the water masses show westward spreading and eastward recirculations on either side of the equator. Temporal variations in spreading and recirculation occur at both levels, but they are more pronounced at the AAIW level, in agreement with earlier observations in the upper layers. At the northern boundary of the equatorial belt (7 degrees 30'N) the AAIW flows along the western boundary while the UCPW, instead, recirculates into the interior of the ocean.</t>
  </si>
  <si>
    <t>Inst Rech Dev, F-29280 Plouzane, France; Inst Rech Dev, Cayenne 97323, French Guiana; Univ Paris 06, Lab Oceanog Dynam &amp; Climatol, CNRS, IRD, F-75252 Paris 06, France; Univ Sao Paulo, Inst Oceanog, Sao Paulo, Brazil; CNRS, F-29682 Roscoff, France</t>
  </si>
  <si>
    <t>Institut de Recherche pour le Developpement (IRD); Institut de Recherche pour le Developpement (IRD); Sorbonne Universite; Institut de Recherche pour le Developpement (IRD); Centre National de la Recherche Scientifique (CNRS); Universidade de Sao Paulo; Centre National de la Recherche Scientifique (CNRS)</t>
  </si>
  <si>
    <t>Inst Rech Dev, BP 70, F-29280 Plouzane, France.</t>
  </si>
  <si>
    <t>oudot@ird.fr</t>
  </si>
  <si>
    <t>Morin, Pascal/AHI-3070-2022; Braga, Elisabete/E-5285-2012</t>
  </si>
  <si>
    <t>Morin, Pascal/0000-0003-2766-1821; Braga, Elisabete/0000-0001-5780-3814; Ternon, Jean-Francois/0000-0002-1396-8921</t>
  </si>
  <si>
    <t>10.1029/1999JC900123</t>
  </si>
  <si>
    <t>WOS:000083473200028</t>
  </si>
  <si>
    <t>Meredith, MP; Grose, KE; McDonagh, EL; Heywood, KJ; Frew, RD; Dennis, PF</t>
  </si>
  <si>
    <t>Distribution of oxygen isotopes in the water masses of Drake Passage and the South Atlantic</t>
  </si>
  <si>
    <t>ANTARCTIC CIRCUMPOLAR CURRENT; WEDDELL SEA DEEP; INTERMEDIATE WATER; SOUTHWESTERN ATLANTIC; POLAR FRONT; SCOTIA SEA; OCEAN; ICE; CIRCULATION; TRANSPORT</t>
  </si>
  <si>
    <t>Measurements of the ratio of stable isotopes of oxygen (O-18 and O-16) from samples collected on World Ocean Circulation Experiment sections SR1b (eastern Drake Passage) and Al I (Punta Arenas to Cape Town) are used, together with hydrographic data, to deduce information about the formation and variability of South Atlantic and Southern Ocean water masses. The Drake Passage surface waters south of the Polar Front (PF) are isotopically light (delta(19)O around -0.4%) owing to the influence of meteoric waters. The salinity and delta(18)O of the All surface waters yield an apparent freshwater end-member which is much isotopically lighter than the local precipitation, thus advection of these waters from farther south dominates over local effects in determining the surface water properties. The Drake Passage section shows unusual proximity of the two main fronts of the Antarctic Circumpolar Current (the PF and Subantarctic Front (SAF)), and we observe cold, fresh, and isotopically light water derived from the temperature-minimum Winter Water at the SAF. This water is of the correct density to freshen the intermediate water north of the SAF and thus play a role in the formation of the comparatively fresh Antarctic Intermediate Water (AAIW) of the South Atlantic. This confirms the role of Antarctic water in forming the South Atlantic variety of AAIW. Across the A11 section the oxygen isotope and salinity data at the AAIW core show very similar traces, with waters in the Malvinas Current loop showing lowest values of both. At the eastern boundary of the South Atlantic, the input of Red Sea Water from east of South Africa is observed via the presence of anomalously isotopically heavy AAIW. We deduce potentially significant temporal variability in the isotopic composition of Weddell Sea Deep Water (WSDW) by comparing the Drake Passage data to earlier data covering the outflow of the Weddell Sea. The A11 data show WSDW consistent with such variability, indicating that its effects could persist in the waters as they flow north into the western South Atlantic. We speculate that such variability could be due to small changes in the amount of glacial ice melt in WSDW.</t>
  </si>
  <si>
    <t>Univ E Anglia, Sch Environm Sci, Norwich NR4 7TJ, Norfolk, England; Univ Otago, Dept Chem, Dunedin, New Zealand</t>
  </si>
  <si>
    <t>University of East Anglia; University of Otago</t>
  </si>
  <si>
    <t>Univ E Anglia, Sch Environm Sci, Norwich NR4 7TJ, Norfolk, England.</t>
  </si>
  <si>
    <t>m.meredith@uea.ac.uk</t>
  </si>
  <si>
    <t>Frew, Russell/HDN-6138-2022; Frew, Russell/I-5591-2012; Heywood, Karen/L-1757-2016</t>
  </si>
  <si>
    <t>Frew, Russell/0000-0002-6138-2116; Dennis, Paul/0000-0002-0307-4406; Heywood, Karen/0000-0001-9859-0026; McDonagh, Elaine/0000-0002-8813-4585; Meredith, Michael/0000-0002-7342-7756</t>
  </si>
  <si>
    <t>10.1029/98JC02544</t>
  </si>
  <si>
    <t>WOS:000083473200030</t>
  </si>
  <si>
    <t>McDonagh, EL; Heywood, KJ; Meredith, MP</t>
  </si>
  <si>
    <t>On the structure, paths, and fluxes associated with Agulhas rings</t>
  </si>
  <si>
    <t>ANTARCTIC INTERMEDIATE WATER; SOUTH-ATLANTIC; INDIAN OCEANS; CIRCULATION; EDDIES; HEAT; EDDY; TOPEX/POSEIDON; RETROFLECTION; THERMOCLINE</t>
  </si>
  <si>
    <t>In January 1993, two Agulhas rings were sampled in the eastern South Atlantic during the World Ocean Circulation Experiment one-time hydrographic section A11. The first of these, Ring 1, was sampled at 36 degrees S, 4 degrees E in the Subtropical Frontal Zone and was smaller and less energetic than other, more typical Agulhas rings, owing partly to its interactions with the North Subtropical Front. The other, Ring 2, was sampled at 33 degrees S, 10 degrees E in the subtropics. This ring was average in size and reasonably representative of the rings observed in the southeast Atlantic during the early 1990s. The path of the rings is found to be dominated by advection in the mean flow rather than self-induced velocities of eddies under the beta effect. We observe significant differences in reduced gravity and available heat and salt anomalies in the rings; from these we infer temporal variability in the stratification of rings upon their formation at the Agulhas Retroflection. This temporal variability in the structure of rings will affect the fluxes associated with them. Data collected within Ring 2 show that neglecting consideration of the water beneath the 10 degrees C isotherm underestimates the volume flux by half and the potential temperature and salinity flux by in excess of one third and one half, respectively. Using a base of the 3.5 degrees C isotherm and including the high-salinity intermediate water from the Indian Ocean is found to be more appropriate. With these conditions, six Agulhas rings per year entering the subtropical South Atlantic would equate to a volume flux of 9 Sv and an absolute potential temperature and salinity flux of 84 Sv degrees C and 322 Sv psu (1 Sv psu approximate to 10(6) kg s(-1)). The significant flux of intermediate water from the Indian Ocean may be as important in the return path of the thermohaline circulation as the intermediate water that enters the South Atlantic through Drake Passage. Further, the water associated with Agulhas rings and cooler than 10 degrees C potentially contributes a larger volume flux to the warm water return path than the corresponding surface and upper thermocline water.</t>
  </si>
  <si>
    <t>Univ E Anglia, Sch Environm Sci, Norwich NR4 7TJ, Norfolk, England</t>
  </si>
  <si>
    <t>University of East Anglia</t>
  </si>
  <si>
    <t>e.mcdonagh@uea.ac.uk; k.heywood@uea.ac.uk; m.meredith@uea.ac.uk</t>
  </si>
  <si>
    <t>; Heywood, Karen/L-1757-2016</t>
  </si>
  <si>
    <t>McDonagh, Elaine/0000-0002-8813-4585; Meredith, Michael/0000-0002-7342-7756; Heywood, Karen/0000-0001-9859-0026</t>
  </si>
  <si>
    <t>10.1029/1998JC900131</t>
  </si>
  <si>
    <t>WOS:000083473200034</t>
  </si>
  <si>
    <t>Maamaatuaiahutapu, K; Provost, C; Andrié, C; Vigan, X</t>
  </si>
  <si>
    <t>Origin and ages of mode waters in the Brazil-Malvinas Confluence region during austral winter 1994</t>
  </si>
  <si>
    <t>ANTARCTIC INTERMEDIATE WATER; SOUTH-ATLANTIC; HYDROGRAPHIC CONDITIONS; CIRCULATION; CHLOROFLUOROCARBON-113; RECIRCULATION; OCEAN; FLOW</t>
  </si>
  <si>
    <t>The ventilation of the main thermocline associated with the formation of Subtropical Mode Water (STMW) and Subantarctic Mode Water (SAMW) within the Brazil/Malvinas Confluence region is investigated using satellite data, hydrographic data, and dissolved CFCs as transient tracers. During the winter of 1994, two types of STMW were observed. Both types, 26.24 sigma(theta) and 26.46 sigma(theta) were formed within the warm pool of the South Atlantic Central Water (SACW). The SAMW is found on the 27.10 sigma(theta) density surface. This surface lies in the minimum salinity layer of the Antarctic Intermediate Water (AAIW). The mode waters are dated using CFC ratios. To our knowledge, this is the first estimate of the age of the mode waters in the region using the CFC-113:CFC-11 ratio method. The lighter STMW was being formed during the cruise. The heavier STMW was found to be 6 +/- 3 years old and is thought to have circulated in the subtropical gyre without losing its primary properties. The SAMW, or the lightest AAIW has an age of 3 +/- 2 years. This water is very young compared with the oldest (10 +/- 5 years) and heaviest component of the AAIW, which circulates within the subtropical gyre. The formation of the STMW in the confluence region is dependent on the southward extension of the Brazil Current.</t>
  </si>
  <si>
    <t>Univ Francaise Pacifique, Observ Geodes Tahiti, Lab Geosci Marines &amp; Teledetect, Tahiti, France; Univ Paris 06, Lab Oceanog Dynam &amp; Climatol, CNRS, ORSTOM, F-75252 Paris 05, France</t>
  </si>
  <si>
    <t>Centre National de la Recherche Scientifique (CNRS); Institut de Recherche pour le Developpement (IRD); Sorbonne Universite</t>
  </si>
  <si>
    <t>Maamaatuaiahutapu, K (corresponding author), Univ Francaise Pacifique, Observ Geodes Tahiti, Lab Geosci Marines &amp; Teledetect, Tahiti, France.</t>
  </si>
  <si>
    <t>Maamaatuaiahutapu, Keitapu/0000-0003-4071-0472; Provost, Christine/0000-0003-4693-3685</t>
  </si>
  <si>
    <t>10.1029/1999JC900177</t>
  </si>
  <si>
    <t>WOS:000083473200037</t>
  </si>
  <si>
    <t>Boebel, O; Schmid, C; Podestá, G; Zenk, W</t>
  </si>
  <si>
    <t>Intermediate water in the Brazil-Malvinas Confluence Zone:: A Lagrangian view</t>
  </si>
  <si>
    <t>SEA-SURFACE TEMPERATURE; SOUTH-ATLANTIC; GULF-STREAM; SOUTHWESTERN ATLANTIC; BOUNDARY CURRENTS; CIRCULATION EXPLORER; SURROUNDING WATERS; ARGENTINE BASIN; OCEAN; VARIABILITY</t>
  </si>
  <si>
    <t>The subsurface flow within the subantarctic and subtropical regions around the Brazil-Malvinas (Falkland) Confluence Zone is studied, using daily hydrographic and kinematic data from four subsurface floats and a hydrographic section parallel to the South American shelf. The float trajectories are mapped against sea surface flow patterns as visible in concurrent satellite sea surface temperature (SST) images, with focus on the November 1994 and October/November 1995 periods. The unprecedented employment of Lagrangian theta-S diagrams enables us to trace the advection of patches of fresh Antarctic Intermediate Water (AAIW) from the Confluence Zone into the subtropical region. The fresh AAIW consists of a mixture of subtropical AAIW and Malvinas Current core water. Within the subtropical gyre, these patches are discernible for extended periods and drift over long distances, reaching north to 34 degrees S and east to 40 degrees W. The cross-frontal migration of quasi-isobaric floats across the Confluence Zone from the subtropical to the subantarctic environment is observed on three occasions. The reverse process, float migration from a subpolar to a subtropical environment was observed once. These events were located near 40 degrees S, 50 degrees W, the site of a reoccurring cold core feature. Subsurface float and SST data comparison reveals similarities with analogous observations made in the Gulf Stream [Rossby, 1996] where cross-frontal processes were observed dose to meander crests. The limited number of floats of this study and the complex structure of the Brazil-Malvinas Confluence Zone, however, restricts the analysis to a description of two events.</t>
  </si>
  <si>
    <t>Univ Cape Town, Dept Oceanog, ZA-7001 Rondebosch, South Africa; Univ Kiel, Inst Meereskunde, D-24105 Kiel, Germany; Univ Miami, Rosenstiel Sch Marine &amp; Atmospher Sci, Miami, FL 33149 USA</t>
  </si>
  <si>
    <t>University of Cape Town; University of Kiel; University of Miami</t>
  </si>
  <si>
    <t>Univ Cape Town, Dept Oceanog, ZA-7001 Rondebosch, South Africa.</t>
  </si>
  <si>
    <t>oboebel@physci.uct.ac.za</t>
  </si>
  <si>
    <t>Schmid, Claudia/D-5875-2013; Podesta, Guillermo/L-7100-2015</t>
  </si>
  <si>
    <t>Podesta, Guillermo/0000-0002-4909-0567</t>
  </si>
  <si>
    <t>10.1029/1999JC900059</t>
  </si>
  <si>
    <t>WOS:000083473200038</t>
  </si>
  <si>
    <t>Vivier, F; Provost, C</t>
  </si>
  <si>
    <t>Volume transport of the Malvinas Current: Can the flow be monitored by TOPEX/POSEIDON?</t>
  </si>
  <si>
    <t>RESOLUTION ANTARCTIC MODEL; LAGRANGIAN CIRCULATION EXPLORER; SEASAT ALTIMETER DATA; SOUTH-ATLANTIC-OCEAN; OBJECTIVE ANALYSIS; BOUNDARY CURRENTS; GEOSTROPHIC CIRCULATION; SEASONAL VARIABILITY; CONFLUENCE REGION; NUMERICAL-MODEL</t>
  </si>
  <si>
    <t>Current meter measurements were collected between 40 degrees and 41 degrees S in the Malvinas (Falkland) Current from December 1993 to June 1995. Owing to the premature failure of a mooring, a reliable volume transport time series could only be calculated for 254 days, leading to a mean transport of about 41.5 Sv with a standard deviation of 12.2 Sv. This time series is tentatively extended to 386 days. It is also shown that the TOPEX/POSEIDON altimeter, combined with the statistical information on the vertical structure of the current provided by the current meters, can be used to sensitively monitor the flow. A 3-year-long time series of transport is derived, which is well correlated (0.8) to the transport estimated from current meters, including about 60% of the variance of the flow at periods beyond 20 days; this series makes it possible to consider a relatively broad spectral range. Dominant periods are 50-80 days and close to 180 days. Interannual variations are large. Comparatively, little energy is found at the annual period, suggesting that the Malvinas Current has only little impact on the annual migrations of the confluence. The predominance of a semiannual cycle is compatible with a remote forcing of the flow suggested by previous numerical studies.</t>
  </si>
  <si>
    <t>Univ Paris 06, Lab Oceanog Dynam &amp; Climatol, F-75252 Paris 05, France</t>
  </si>
  <si>
    <t>Sorbonne Universite</t>
  </si>
  <si>
    <t>Univ Paris 06, Lab Oceanog Dynam &amp; Climatol, 4 Pl Jussieu, F-75252 Paris 05, France.</t>
  </si>
  <si>
    <t>fvi@lodyc.jussieu.fr; cp@lodyc.jussieu.fr</t>
  </si>
  <si>
    <t>Vivier, Frederic/0000-0003-2539-4133; Provost, Christine/0000-0003-4693-3685</t>
  </si>
  <si>
    <t>10.1029/1999JC900056</t>
  </si>
  <si>
    <t>WOS:000083473200040</t>
  </si>
  <si>
    <t>Jungclaus, JH; Vanicek, M</t>
  </si>
  <si>
    <t>Frictionally modified flow in a deep ocean channel: Application to the Vema Channel</t>
  </si>
  <si>
    <t>BOTTOM BOUNDARY-LAYER; OREGON CONTINENTAL-SHELF; ATLANTIC-OCEAN; HYDRAULIC CONTROL; BRAZIL BASIN; CIRCULATION; TRANSPORT; WATER; CURRENTS; FLUID</t>
  </si>
  <si>
    <t>The modification of the exchange flow in a deep southern hemisphere passage, resembling the Vema Channel, by frictionally induced secondary circulation is investigated numerically. The hydrostatic primitive equation model is a two-dimensional version of the sigma-coordinate Princeton Ocean Model. The time dependent response of a stratified along-channel flow, forced by barotropic or baroclinic pressure gradients, is examined. Near the bottom, where the along-channel now is retarded, there is cross-channel Ekman nux that is associated with downwelling on the eastern side and upwelling on the western side of the channel. In the presence of stratification the cross-channel flow rearranges the density structure, which in turn acts on the along-channel velocity via the thermal wind relation. Eventually the cross-isobath Ekman flux is shut down. In the case of baroclinically driven flow of Antarctic Bottom Water through the Vema Channel the model reproduces the observed shape of the deep temperature profiles and their cross-channel asymmetry. The model offers an explanation that is alternative or supplementary to inviscid multilayer hydraulic theory that;was proposed in earlier studies. It explains the extremely thick bottom boundary layers in the center and on the western slope of the channel. The deep thermocline is spread out in the west and sharpened in the east, and the coldest water is found on the eastern side of the deep trough; The modified density field reduces the along-channel flow near the bottom and focuses it into a narrow jet on the eastern side of the channel.</t>
  </si>
  <si>
    <t>Univ Kiel, Inst Meereskunde, D-24105 Kiel, Germany</t>
  </si>
  <si>
    <t>University of Kiel</t>
  </si>
  <si>
    <t>Jungclaus, JH (corresponding author), Univ Kiel, Inst Meereskunde, Dusternbrooker Weg 20, D-24105 Kiel, Germany.</t>
  </si>
  <si>
    <t>jjungclaus@ifm.uni-kiel.de; mvanicek@ifm.uni-kiel.de</t>
  </si>
  <si>
    <t>10.1029/1998JC900055</t>
  </si>
  <si>
    <t>WOS:000083473200041</t>
  </si>
  <si>
    <t>Andrié, C; Ternon, JF; Bourlès, B; Gouriou, Y; Oudot, C</t>
  </si>
  <si>
    <t>Tracer distributions and deep circulation in the western tropical Atlantic during CITHER 1 and ETAMBOT cruises, 1993-1996</t>
  </si>
  <si>
    <t>BOUNDARY CURRENT VARIABILITY; ANTARCTIC BOTTOM WATER; LABRADOR SEA-WATER; NORTH-ATLANTIC; EQUATORIAL ATLANTIC; THERMOHALINE CIRCULATION; GREENLAND SEA; TEMPORAL EVOLUTION; NORWEGIAN SEAS; OCEAN</t>
  </si>
  <si>
    <t>This paper presents CFC and nontransient tracer observations in the western equatorial Atlantic Ocean on repeated sections along 730'N, the 35 degrees W meridian, and a transect crossing the Ceara Rise. Three World Ocean Circulation Experiment cruises have been carried out in this area, in February-March 1993 (CITHER 1) and September-October 1995 and April-May 1996 (ETAMBOT 1 and 2). Together with the tracer data, the direct current measurements are used to deduce the circulation pathways. The data confirm the principal circulation features of the Upper North Atlantic Deep Water within the area. The Deep Western Boundary Current flows southward along the continental slope, while, adjacent to the DWBC, there is a northward flow corresponding to the DWBC recirculation whose origin appears variable. The largest variability is observed along the 35 degrees W meridional section, where the DWBC bifurcates eastward north of 3 degrees S but the eastward equatorial flow does not appear to be permanent. At the Middle North Atlantic Deep Water level, CFC distributions exhibit the most important contrast between waters of northern and southern origin. The circulation at the Lower North Atlantic Deep Water level, mainly controlled by the topography, looks more permanent because the DWBC is regularly observed during the three cruises, and there is no evidence for a northwestward recirculation along the Mid-Atlantic Ridge. The transient behavior of CFC distributions, which is superimposed on local circulation effects, can be seen clearly through their temporal evolution within the DWBC. The variability of the deep circulation observed during the 1993-1996 interval rules out a dominant variability in response to semi annual forcing.</t>
  </si>
  <si>
    <t>Univ Paris 06, Lab Oceanog Dynam &amp; Climatol, CNRS, IRD, F-75252 Paris 05, France; Inst Rech Dev, F-29180 Plouzane, France; Inst Rech Dev, Cayenne, French Guiana</t>
  </si>
  <si>
    <t>Institut de Recherche pour le Developpement (IRD); Centre National de la Recherche Scientifique (CNRS); Sorbonne Universite; Institut de Recherche pour le Developpement (IRD); Institut de Recherche pour le Developpement (IRD)</t>
  </si>
  <si>
    <t>Univ Paris 06, Lab Oceanog Dynam &amp; Climatol, CNRS, IRD, 4 Pl Jussieu,Case 100, F-75252 Paris 05, France.</t>
  </si>
  <si>
    <t>andrie@lodyc.jussieu.fr; ternon@cayenne.ird.fr; bbourles@ifremer.fr; ygouriou@ifremer.fr; coudot@ifremer.fr</t>
  </si>
  <si>
    <t>; Bernard, BOURLES/I-4673-2015</t>
  </si>
  <si>
    <t>Ternon, Jean-Francois/0000-0002-1396-8921; Bernard, BOURLES/0000-0001-6515-4519</t>
  </si>
  <si>
    <t>10.1029/1999JC900094</t>
  </si>
  <si>
    <t>WOS:000083473200045</t>
  </si>
  <si>
    <t>Small, C; Cochran, JR; Sempéré, JC; Christie, D</t>
  </si>
  <si>
    <t>The structure and segmentation of the southeast Indian Ridge</t>
  </si>
  <si>
    <t>Symposium on Geology and Geophysics of the Indian Ocean (GIO 96)</t>
  </si>
  <si>
    <t>OCT 21-25, 1996</t>
  </si>
  <si>
    <t>NATL INST OCEANOG, GOA, INDIA</t>
  </si>
  <si>
    <t>NATL INST OCEANOG</t>
  </si>
  <si>
    <t>Southeast Indian Ridge; structure; segmentation</t>
  </si>
  <si>
    <t>AUSTRALIAN-ANTARCTIC DISCORDANCE; AXIS DISCONTINUITIES; RIFT-VALLEY; OCEAN; MORPHOLOGY; TRANSITION; EVOLUTION; ATLANTIC; GRAVITY</t>
  </si>
  <si>
    <t>The Southeast Indian Ridge (SEIR) spreads at a relatively narrow range of intermediate rates (59-75 km/Ma) but exhibits the full range of slow to fast spreading morphology and segmentation. Satellite gravity data reveal transitions in the structure of the spreading center where it is influenced by the Amsterdam and Kerguelen hotspots and at the Australian-Antarctic Discordance (AAD). Although the spreading rate between the hotspots and the AAD is nearly constant, the ridge exhibits a variety of distinct styles of morphology and segmentation not observed at fast or slow spreading centers. Recently, collected multibeam bathymetry data reveal a transition from East Pacific Rise style overlapping axial highs near 92 degrees E to Mid-Atlantic Ridge style axial valleys with non-transform offsets near 116 degrees E. The intervening segmentation is characterized by propagating offsets coexisting with stationary transforms which exhibit different degrees of temporal stability. Currently, there are 10 transform offsets between the hotspots and the AAD but only five of these have persisted since seafloor spreading stabilized at 35 Ma. The other five appear to have formed since 35 Ma and several more have disappeared by transform shortening or coalesced by along-axis propagation. There is a transition from monotonic offset propagation near the hotspots to oscillatory propagation approaching the AAD. This change in offset stability corresponds to transitions in depth, axial morphology and offset structure. Through much of the transitional region, higher order segmentation is characterized by en-echelon offsets of a diffuse spreading axis that generally lacks a well defined neovolcanic zone. Since the spreading rate is nearly constant, the regional variation in axial morphology and segmentation appears to be controlled by an upper mantle thermal gradient - possibly a result of flux of asthenosphere from the hotspots to the AAD. This is consistent with the gradual increase in average ridge flank depths along this part of the plate boundary but segment scale changes in axial depth reveal spatio-temporal variability in the dynamic topography that are not preserved on older lithosphere. Intrasegment transitions in axial morphology and en-echelon offsets within first order segments suggest that local variations in mantle thermal structure introduce short-lived instabilities in higher order segmentation and dominate the short term evolution of the plate boundary. (C) 1999 Elsevier Science B.V. All rights reserved.</t>
  </si>
  <si>
    <t>Lamont Doherty Earth Observ, Palisades, NY 10964 USA; Univ Washington, Sch Oceanog, Seattle, WA 98195 USA; Oregon State Univ, Coll Oceanog, Corvallis, OR 97331 USA</t>
  </si>
  <si>
    <t>Columbia University; University of Washington; University of Washington Seattle; Oregon State University</t>
  </si>
  <si>
    <t>Small, C (corresponding author), Lamont Doherty Earth Observ, Palisades, NY 10964 USA.</t>
  </si>
  <si>
    <t>small@ldeo.columbia.edu</t>
  </si>
  <si>
    <t>Small, Christopher/AAB-9030-2019</t>
  </si>
  <si>
    <t>10.1016/S0025-3227(99)00051-1</t>
  </si>
  <si>
    <t>238KK</t>
  </si>
  <si>
    <t>WOS:000082709300003</t>
  </si>
  <si>
    <t>McNamara, JP; Hillier, IH</t>
  </si>
  <si>
    <t>Exploration of the mechanism of the hydrolysis of chlorine nitrate in small water clusters using electronic structure methods</t>
  </si>
  <si>
    <t>AB-INITIO; HETEROGENEOUS REACTIONS; HYDROGEN-CHLORIDE; ANTARCTIC OZONE; SULFURIC-ACID; NITRIC-ACID; STRATOSPHERIC CHEMISTRY; ICE SURFACES; ACTIVE CHLORINE; CLOUD FORMATION</t>
  </si>
  <si>
    <t>High-level electronic structure calculations have been used to study the mechanism of hydrolysis of chlorine nitrate in neutral water clusters containing three to eight solvating water molecules. The calculations clarify some of the current uncertainties in the hydrolysis mechanism. As the size of the water cluster is increased, ClONO2 shows increasing ionization along the O2NO-Cl bond consistent with the proposed predissociation in which the electrophilicity of the chlorine atom is enhanced, thus making it more susceptible to nucleophilic attack from a surface water molecule. A species akin to the experimentally observed intermediate, H2OCl+ is found to be stable in a cluster containing eight water molecules. The hydrolysis products, ionized nitric (H3O+/NO3-) and molecular hypochlorous (HOCl) acids, are found to be stable in two different types of structures, containing six and eight water molecules. For the water cluster containing six water molecules, which has a structure related to ordinary hexagonal ice, ClONO2 is hydrolyzed to yield H3O+/NO3-/HOCl, with essentially no barrier. The calculations thus predict that hydrolysis of ClONO2 on PSC ice aerosols can proceed spontaneously in small neutral water clusters.</t>
  </si>
  <si>
    <t>Univ Manchester, Dept Chem, Manchester M13 9PL, Lancs, England</t>
  </si>
  <si>
    <t>Hillier, IH (corresponding author), Univ Manchester, Dept Chem, Oxford Rd, Manchester M13 9PL, Lancs, England.</t>
  </si>
  <si>
    <t>SEP 9</t>
  </si>
  <si>
    <t>10.1021/jp991137i</t>
  </si>
  <si>
    <t>235YG</t>
  </si>
  <si>
    <t>WOS:000082571000023</t>
  </si>
  <si>
    <t>Bird, DF; Karl, DM</t>
  </si>
  <si>
    <t>Uncoupling of bacteria and phytoplankton during the austral spring bloom in Gerlache Strait, Antarctic Peninsula</t>
  </si>
  <si>
    <t>bacteria; Antarctic Peninsula; Gerlache Strait; spring bloom; heterotrophic nanoflagellates; microbial food web; grazing; heterotrophic dinoflagellates</t>
  </si>
  <si>
    <t>WESTERN BRANSFIELD STRAIT; ICE MICROBIAL COMMUNITIES; DIEL VERTICAL MIGRATION; COASTAL WATERS; WEDDELL SEA; ORGANIC-CARBON; HETEROTROPHIC BACTERIA; SEASONAL-VARIATIONS; EUPHAUSIA-SUPERBA; PROTEIN-SYNTHESIS</t>
  </si>
  <si>
    <t>The response of the bacterial (Bacteria and Archaea) community to vernal phytoplankton blooms was examined over a grid of stations in Gerlache Strait, Antarctic Peninsula, during the RACER II program (29 October to 26 November 1989). Total bacterial production (0.13 to 10.6 mg C m(-3) d(-1)). based on the incorporation of H-3-leucine into protein, increased with increasing chlorophyll a (chl a) concentration. Bacterial cell-specific growth rate also increased with increasing primary production among stations. Nevertheless, bacterial cell abundance was greatest at the sites that had the lowest chi a concentrations, and declined wherever phytoplankton bloomed. Early bloom communities had few nanoprotist grazers; grazing was undetectable by the Landry-Hassett dilution method during this period. Fully developed bloom communities (chl a &gt; 10 mg m(-3)) had a profusion of nanoprotist grazers (median 3000 cells ml(-1)). Despite relatively low ingestion rates per individual (0.9 bacteria cell(-1) h(-1)), the abundant grazing community kept bacterial biomass very low in Gerlache Strait, to the point that the metabolism of the pelagic bacterial surface community was only a minor fraction of total ecosystem metabolism. Grazing was the apparent cause, although biomass limitation of the bacteria due to lack of resources (e.g. bioavailable dissolved organic matter) may be the ultimate cause of the uncoupling of bacterial and phytoplanktonic communities in these habitats.</t>
  </si>
  <si>
    <t>Univ Quebec, Dept Sci Biol, Montreal, PQ H3C 3P8, Canada; Univ Hawaii, Sch Ocean &amp; Earth Sci &amp; Technol, Honolulu, HI 96822 USA</t>
  </si>
  <si>
    <t>University of Quebec; University of Quebec Montreal; University of Hawaii System</t>
  </si>
  <si>
    <t>Bird, DF (corresponding author), Univ Quebec, Dept Sci Biol, CP 8888,Succ Ctr Ville, Montreal, PQ H3C 3P8, Canada.</t>
  </si>
  <si>
    <t>Karl, David/AFP-3837-2022</t>
  </si>
  <si>
    <t>Karl, David/0000-0002-6660-6721</t>
  </si>
  <si>
    <t>SEP 6</t>
  </si>
  <si>
    <t>10.3354/ame019013</t>
  </si>
  <si>
    <t>242TJ</t>
  </si>
  <si>
    <t>WOS:000082957500002</t>
  </si>
  <si>
    <t>de Vivar, MED; Maier, MS; Seldes, AM</t>
  </si>
  <si>
    <t>Polar metabolites from the Antarctic starfish Labidiaster annulatus</t>
  </si>
  <si>
    <t>ANALES DE LA ASOCIACION QUIMICA ARGENTINA</t>
  </si>
  <si>
    <t>BIOLOGICALLY-ACTIVE GLYCOSIDES; STEROIDAL OLIGOGLYCOSIDES; SAPONINS; ASTEROIDEA; SULFATES; POLYHYDROXYSTEROIDS</t>
  </si>
  <si>
    <t>Purification of the ethanolic extract of the Antarctic starfish L. annulatus has led to the isolation of two sulfated pentaglycosides (1, 2) and to the polyhydroxylated steroid (255)-5 alpha-cholestane-3 beta,6 beta, 15 alpha, 16 beta, 26-pentaol (3). Saponin 1 contains a novel pentasaccharide chain attached to C-6 of the steroidal aglycone. Identification of the compounds relied on interpretation of spectral data (H-1-NMR, (1')3C-NMR, FABMS) and on acid and enzymatic hydrolysis.</t>
  </si>
  <si>
    <t>Univ Buenos Aires, Fac Ciencias Exactas &amp; Nat, Dept Quim Organ, RA-1428 Buenos Aires, DF, Argentina; Univ Nacl La Patagonia, Fac Ciencias Nat Sede Puerto Madryn, RA-9120 Chubut, Argentina</t>
  </si>
  <si>
    <t>University of Buenos Aires</t>
  </si>
  <si>
    <t>de Vivar, MED (corresponding author), Univ Buenos Aires, Fac Ciencias Exactas &amp; Nat, Dept Quim Organ, Pabellon 2,Ciudad Univ, RA-1428 Buenos Aires, DF, Argentina.</t>
  </si>
  <si>
    <t>ASOC QUIMICA ARGENTINA</t>
  </si>
  <si>
    <t>BUENOS AIRES</t>
  </si>
  <si>
    <t>SANCHEZ DE BUSTAMANTE 1749, 1425 BUENOS AIRES, ARGENTINA</t>
  </si>
  <si>
    <t>0365-0375</t>
  </si>
  <si>
    <t>AN ASOC QUIM ARGENT</t>
  </si>
  <si>
    <t>An. Asoc. Quim. Argent.</t>
  </si>
  <si>
    <t>SEP-DEC</t>
  </si>
  <si>
    <t>5-6</t>
  </si>
  <si>
    <t>Chemistry, Multidisciplinary</t>
  </si>
  <si>
    <t>326DP</t>
  </si>
  <si>
    <t>WOS:000087717700009</t>
  </si>
  <si>
    <t>Barker, P; Cooper, A</t>
  </si>
  <si>
    <t>The hunt for Antarctic climate history</t>
  </si>
  <si>
    <t>ANTARCTIC SCIENCE</t>
  </si>
  <si>
    <t>0954-1020</t>
  </si>
  <si>
    <t>ANTARCT SCI</t>
  </si>
  <si>
    <t>Antarct. Sci.</t>
  </si>
  <si>
    <t>SEP</t>
  </si>
  <si>
    <t>10.1017/S0954102099000358</t>
  </si>
  <si>
    <t>Environmental Sciences; Geography, Physical; Geosciences, Multidisciplinary</t>
  </si>
  <si>
    <t>Environmental Sciences &amp; Ecology; Physical Geography; Geology</t>
  </si>
  <si>
    <t>309DR</t>
  </si>
  <si>
    <t>WOS:000086753000001</t>
  </si>
  <si>
    <t>Barnes, DKA</t>
  </si>
  <si>
    <t>Do life patterns differ between two Scotia Arc localities? A preliminary investigation of three erect Antarctic bryozoan species</t>
  </si>
  <si>
    <t>cheilostomatid bryozoans; epibionts; ovicell; polypide recycling</t>
  </si>
  <si>
    <t>SIGNY ISLAND; REPRODUCTION; COMMUNITIES; SEASONALITY; INVERTEBRATES; BRACHIOPODS; DIVERSITY; EPIBIOTA; CLIMATE; LARVAE</t>
  </si>
  <si>
    <t>Erect bryozoans are extremely abundant: and diverse in polar waters and individual species may span a wide range in latitude and bathymetry. A number of aspects of lifestyle, including polypide recycling, embryo production, distribution, growth form and epibiosis were compared in three species of erect bryozoans. These were collected from two locations; Signy Island (60 degrees S) and Rothera Point, Adelaide Island (68 degrees S) and a variety of depths. All three species were in similar stages of polypide cycling within and between the two sites. In the species Isosecuriflustra rubefacta and Nematoflustra flagellata the rate of brown body production (polypide generations) was slower at Signy Island than at Rothera Point. There was little difference between localities (within species) in the pattern of embryo production and no change in embryo size with depth. Embryos of I. rubefacta, however, were significantly larger at. Rothera Point than at Signy Island. The proportion of the community occupied by each species changed with depth, but all three species occurred in shallower water at Rothera Point than at Signy Island. Fouling by epibionts decreased with increasing depth and from Signy Island to Rothera Point, both in terms of per cent cover and number of colonizing taxa. Possible trends with depth and latitude are compared with other studies involving bryozoans. The literature on Antarctic benthic taxa, in general, is also considered to determine whether trends within the Bryozoa are reflected in other groups.</t>
  </si>
  <si>
    <t>Natl Univ Ireland Univ Coll Cork, Dept Zool &amp; Anim Ecol, Cork, Ireland</t>
  </si>
  <si>
    <t>University College Cork</t>
  </si>
  <si>
    <t>Barnes, DKA (corresponding author), Natl Univ Ireland Univ Coll Cork, Dept Zool &amp; Anim Ecol, Cork, Ireland.</t>
  </si>
  <si>
    <t>dkab@ucc.ie</t>
  </si>
  <si>
    <t>32 AVENUE OF THE AMERICAS, NEW YORK, NY 10013-2473 USA</t>
  </si>
  <si>
    <t>10.1017/S095410209900036X</t>
  </si>
  <si>
    <t>WOS:000086753000002</t>
  </si>
  <si>
    <t>Berrow, SD; Croxall, JP</t>
  </si>
  <si>
    <t>The diet of white-chinned petrels Procellaria aequinoctialis, Linnaeus 1758, in years of contrasting prey availability at South Georgia</t>
  </si>
  <si>
    <t>diet; feeding frequency; inter-annual variation; krill; meal size; white-chinned petrel</t>
  </si>
  <si>
    <t>PRION PACHYPTILA-DESOLATA; ANTARCTIC FUR SEALS; INTERANNUAL VARIATION; DIOMEDEA-MELANOPHRIS; BREEDING BIOLOGY; FEEDING ECOLOGY; DIVING DEPTHS; BIRD-ISLAND; KRILL; ALBATROSSES</t>
  </si>
  <si>
    <t>The diet of breeding white-chinned petrels was studied during the summers of 1996 and 1998 at South Georgia. Krill abundance/availability was high throughout 1996 but apparently low at the beginning of the 1998 breeding season. The diet of white-chinned petrels was similar between years and consistent with previous studies. Krill Euphausia superba (41-42% by weight) was the single most important prey item followed by fish (39-29%) and squid(19-25%). Meal mass was consistent(110 g in 1996, 119 g in 1998) between years but a significant decrease (46%) in feeding frequency in 1998 (0.54 meals day(-1) compared to 0.75 meals day(-1) in 1996) resulted in 19% less food delivered to chicks in 1998 than in 1996. Breeding success, however, was consistent between years at 44% and similar to that recorded previously at Bird Island. This is in contrast to black-browed and grey-headed albatrosses, both of which experienced almost total breeding failure in 1998. It is suggested that their varied and versatile feeding methods, together with their greater diving ability, capacity to feed at night and extensive foraging range, help white-chinned petrels minimise the effects of krill shortage.</t>
  </si>
  <si>
    <t>Berrow, SD (corresponding author), British Antarctic Survey, NERC, High Cross,Madingley Rd, Cambridge CB3 0ET, England.</t>
  </si>
  <si>
    <t>1365-2079</t>
  </si>
  <si>
    <t>10.1017/S0954102099000371</t>
  </si>
  <si>
    <t>WOS:000086753000003</t>
  </si>
  <si>
    <t>Eastman, JT; Hubold, G</t>
  </si>
  <si>
    <t>The fish fauna of the Ross Sea, Antarctica</t>
  </si>
  <si>
    <t>Antarctica; bottom trawl; fish fauna; Notothenioidei; Ross Sea</t>
  </si>
  <si>
    <t>WEDDELL SEA; DEMERSAL FISH; PISCES; EGGS</t>
  </si>
  <si>
    <t>The RV Nathaniel B. Palmer was used for bottom trawling at depths of 100-1200 m during two recent cruises in the south-western Ross Sea Although only 10 of 20 trawls were completely successful, a diverse collection of 979 specimens was obtained representing 47 species (36 notothenioids and 11 non-notothenioids) and eight families. The collection included four new species, a new colour morph of a known species and eight rare species: The collection also established four new locality records, three second occurrences, three most southerly records and eleven new depth records for fish in the Ross Sea, Good taxonomic coverage for some groups was indicated by collection of all four species of Artedidraco, nine of ten bathydraconids and seven of eight channichthyids occurring in East Antarctica. The most abundant species were Trematomus scotti (29.7%), Bathydraco marri(10.4%), Trematomus eulepidotus (8.7%) and Dolloidraco longedorsalis (6.1%). Fish biomass was determined at two stations. The fish fauna of the Ross Sea south of the 1000-m isobath includes at least 80 species -54 notothenioids and 26 non-notothenioids, approximately the same number as the Weddell Sea. Species diversity (H'=1.88) was higher than both the Weddell Sea and boreal regions. This collection indicates that, even in relatively shallow water, knowledge of specific and intraspecific diversity in the Ross Sea fauna is incomplete.</t>
  </si>
  <si>
    <t>Ohio Univ, Coll Osteopath Med, Dept Biomed Sci, Athens, OH 45701 USA; Inst Seefischerei, Bundesforsch Anstalt Fischerei, D-2000 Hamburg, Germany</t>
  </si>
  <si>
    <t>University System of Ohio; Ohio University</t>
  </si>
  <si>
    <t>Eastman, JT (corresponding author), Ohio Univ, Coll Osteopath Med, Dept Biomed Sci, Athens, OH 45701 USA.</t>
  </si>
  <si>
    <t>Eastman, Joseph T/A-9786-2008; Eastman, Joseph T./O-6150-2019</t>
  </si>
  <si>
    <t>Eastman, Joseph T./0000-0003-3868-261X</t>
  </si>
  <si>
    <t>10.1017/S0954102099000383</t>
  </si>
  <si>
    <t>WOS:000086753000004</t>
  </si>
  <si>
    <t>Günther, S; Dieckmann, GS</t>
  </si>
  <si>
    <t>Seasonal development of algal biomass in snow-covered fast ice and the underlying platelet layer in the Weddell Sea, Antarctica</t>
  </si>
  <si>
    <t>algal growth; Antarctic; fast ice; nutrients; platelet ice; Weddell Sea</t>
  </si>
  <si>
    <t>DENSE MICROALGAL BLOOM; MCMURDO-SOUND; MICROBIAL COMMUNITIES; HIGH-RESOLUTION; NUTRIENT LIMITATION; EASTERN ANTARCTICA; STANDING STOCK; ELLIS FJORD; PHYTOPLANKTON; ECOSYSTEM</t>
  </si>
  <si>
    <t>The seasonal changes of the nutrient regime and the development of algal communities in snow-covered fast ice and the underlying platelet layer was investigated in the eastern Weddell Sea during autumn, winter, and spring 1995. In the upper sea ice, an autumnal diatom community became enclosed during subsequent ice growth in winter, declined, and was replaced by a flagellate dominated community in spring. In this layer, nitrate was completely exhausted at the end of spring, although nutrients had been partly regenerated in early spring. The progressive congelation of platelet ice contributed significantly to sea ice growth thus influencing algal inoculation of the sea ice bottom. Biomass, present in the uppermost section of the platelet layer, could be found in the sea ice bottom after this section congealed to solid ice. After incorporation, species composition changed from larger and chain-forming species to species of smaller cell size. Concurrently, net growth rate slowed down from 0.07 day(-1) within the platelet layer to 0.03 day(-1) within the sea ice. Despite a thick snow cover of more than 20 cm, maximum biomass yield was 210 mg chi a m(-2) in the platelet layer and 40 mg chi a m(-2) in the sea ice respectively, while 95% of the latter was located within consolidated platelet ice. Total fast ice biomass observed here is significantly lower than that observed in snow-free fast ice of the Ross Sea, but because snow cover of the southern Weddell Sea is representative of most fast ice areas in the Antarctic, the data presented here are of general value.</t>
  </si>
  <si>
    <t>Dieckmann, GS (corresponding author), Alfred Wegener Inst Polar &amp; Marine Res, Postfach 120161, D-27515 Bremerhaven, Germany.</t>
  </si>
  <si>
    <t>gdieckmann@awi-bremerhaven.de</t>
  </si>
  <si>
    <t>Dieckmann, Gerhard S/B-4307-2010</t>
  </si>
  <si>
    <t>10.1017/S0954102099000395</t>
  </si>
  <si>
    <t>WOS:000086753000005</t>
  </si>
  <si>
    <t>Jazdzewski, K; Konopacka, A</t>
  </si>
  <si>
    <t>Necrophagous lysianassoid Amphipoda in the diet of Antarctic tern at King George Island, Antarctica</t>
  </si>
  <si>
    <t>Antarctic; feeding behaviour; necrophagous amphipoda; Sterna vittata</t>
  </si>
  <si>
    <t>FEEDING ECOLOGY; SOUTH GEORGIA; SEABIRDS; ORCHOMENE; FOOD</t>
  </si>
  <si>
    <t>Amphipod crustaceans constituted 30% of the food biomass from the stomachs of Antarctic tern (Sterna vittata) captured at King George Island in three consecutive seasons. Five species of lysianassoid amphipods occurred in the material: Abyssorchomene plebs. Cheirimedon femoratus, Hippomedon kergueleni, Waldeckia obesa and Orchomenella rotundifrons, All these amphipods are known as necrophages inhabiting the upper and middle sublittoral of western Antarctic. They are commonly caught in masses in baited traps, but never occur in the littoral zone or in tidal pools. It is suggested that the source of the amphipod diet of S. vittata are seal or penguin carcasses and dead fish brought by waves to the tidal zone, serving as a bait for necrophagous amphipod crustaceans when submerged in water before stranding on the beach.</t>
  </si>
  <si>
    <t>Univ Lodz, Dept Polar Biol &amp; Oceanobiol, PL-90237 Lodz, Poland; Polish Acad Sci, Polish Antarct Stn H Arctowski, PL-00901 Warsaw, Poland</t>
  </si>
  <si>
    <t>University of Lodz; Polish Academy of Sciences</t>
  </si>
  <si>
    <t>Jazdzewski, K (corresponding author), Univ Lodz, Dept Polar Biol &amp; Oceanobiol, Banacha St 12-16, PL-90237 Lodz, Poland.</t>
  </si>
  <si>
    <t>10.1017/S0954102099000401</t>
  </si>
  <si>
    <t>WOS:000086753000006</t>
  </si>
  <si>
    <t>González-Casado, JM; López-Martínez, J; Durán, JJ</t>
  </si>
  <si>
    <t>Active tectonics and morphostructure at the northern margin of central Bransfield Basin, Hurd Peninsula, Livingston Island (South Shetland Islands)</t>
  </si>
  <si>
    <t>active tectonics; fracture analysis; geomorphology; geophysical prospecting; palaeostress analysis</t>
  </si>
  <si>
    <t>ANTARCTIC PENINSULA; STRESS TENSOR; FAULTS; SUBDUCTION; EVOLUTION; SYSTEM</t>
  </si>
  <si>
    <t>Geophysical, structural, geomorphological, topographical and bathymetric data from the Hurd Peninsula area, Livingston Island, South Shetland archipelago, suggest that an extensional fault system, orientated NW-SE, together with a conjugate group of NE-SW normal oblique-slip faults, control the landforms in this area. These structures separate fault-bounded blocks of different heights, giving rise to a horst-graben structure. The depressed blocks were filled by glaciers and flooded in part by the sea. The recent movement of these faults can be established from the calculated isopachs of a small Quaternary sedimentary basin, related to this extensional fault system, which shows that sedimentary bed thickness is controlled mainly by the NE-SW fault system. Geomorphological analysis also shows that the NW-SE faults control the main morphostructures of this region. The character of the recent stress tensor has been established from fault-slip data, taking into account only those faults that are related to morphostructures. The calculated palaeostress tensor is extensional, with a N46 degrees E main extension direction, and an average stress ratio of 0.17.</t>
  </si>
  <si>
    <t>Univ Autonoma Madrid, Fac Ciencias, Dept Quim Agricola Geol &amp; Geoquim, E-28049 Madrid, Spain; Inst Tecnol Geominero Espana, Madrid 28003, Spain</t>
  </si>
  <si>
    <t>Autonomous University of Madrid</t>
  </si>
  <si>
    <t>González-Casado, JM (corresponding author), Univ Autonoma Madrid, Fac Ciencias, Dept Quim Agricola Geol &amp; Geoquim, E-28049 Madrid, Spain.</t>
  </si>
  <si>
    <t>Duran, Juan/GRZ-0839-2022; Durán, Juan Jose/L-4932-2014; Lopez-Martinez, Jeronimo/C-5744-2011</t>
  </si>
  <si>
    <t>Lopez-Martinez, Jeronimo/0000-0002-1750-8287</t>
  </si>
  <si>
    <t>10.1017/S0954102099000413</t>
  </si>
  <si>
    <t>WOS:000086753000007</t>
  </si>
  <si>
    <t>Lomas, SA; Dingle, RV</t>
  </si>
  <si>
    <t>Possible evidence for Late Cretaceous off-axis volcanism in the outer James Ross Basin</t>
  </si>
  <si>
    <t>Larsen Basin; Maastrichtian; Marambio Group; off-axis volcanism</t>
  </si>
  <si>
    <t>ANTARCTIC PENINSULA; ISLAND</t>
  </si>
  <si>
    <t>A prominent volcaniclastic channel sandstone deposited by a landward-flowing sediment gravity flow is described from the Maastrichtian of Snow Hill Island in the northern Larsen Basin. The characteristics of this petrographically distinct event deposit appear to indicate a volcanic source to the east of Snow Hill Island, well away from the magmatic are landmass which sourced the bulk of the Larsen Basin fill, suggesting minor off-axis intrabasinal volcanism in Maastrichtian to Paleogene times.</t>
  </si>
  <si>
    <t>Lomas, SA (corresponding author), Univ Aberdeen, Dept Geol &amp; Petr Geol, Aberdeen AB24 3UE, Scotland.</t>
  </si>
  <si>
    <t>Lomas, Simon/0000-0002-3089-3626</t>
  </si>
  <si>
    <t>10.1017/S0954102099000425</t>
  </si>
  <si>
    <t>WOS:000086753000008</t>
  </si>
  <si>
    <t>Mikhalsky, EV; Laiba, AA; Beliatsky, BV; Stüwe, K</t>
  </si>
  <si>
    <t>Geology, age and origin of the Mount Willing area (Prince Charles Mountains, East Antarctica)</t>
  </si>
  <si>
    <t>Antarctica; geochemistry; metamorphism; Proterozoic; volcanic rocks</t>
  </si>
  <si>
    <t>LARSEMANN-HILLS AREA; TRACE-ELEMENT; GEOCHEMICAL CHARACTERISTICS; METAVOLCANIC ROCKS; VOLCANIC-ROCKS; FISHER MASSIF; PRYDZ BAY; DISCRIMINATION; PETROGENESIS; AUSTRALIA</t>
  </si>
  <si>
    <t>Mount Willing in the Prince Charles Mountains (East Antarctica) is part of the Fisher Volcanoplutonic complex which formed as part of the global-scale Grenvillian mobile belt system. Mount Willing is composed of four rock complexes: 1) a metamorphic sequence, 2) gabbro intrusions, 3) deformed felsic intrusives, and 4) abundant post-metamorphic dykes and veins. Three rock types constitute the metamorphic sequence: amphibole-biotite felsic plagiogneiss, mafic to intermediate biotite-amphihole schist, and biotite paragneiss. The bulk composition of the mafic schists classifies them as tholeiitic basalts, and rarely as basaltic andesites or andesites. Index mg ranges widely from 47 to 71. Concentrations of TiO2, P2O5, and high-field strength elements are high in some rocks. These rocks are thought to have been derived from enriched (subcontinental) mantle sources. Sm-Nd and U-Pb isotopic data indicate a series of Mesoproterozoic thermal events between 1100 and 1300 Ma. In particular, these events occurred at 1289 +/- 10 Ma (volcanic activity), at 1177 +/- 16 Ma (tonalite intrusion), at 1112.7 +/- 2.4 and at 1009 +/- 54 Ma (amphibolite facies metamorphic events). Rb-Sr systematics also indicates a thermal overprint at 636 +/- 13 Ma. Mafic schists show low initial Sr-87/Sr-86 ratios between 0.7024 and 0.7030. Felsic rocks show higher Sr-1 values between 0.7037 and 0.7061. Basaltic andesite metavolcanic and plutonic rocks form a calc-alkaline evolutionary trend, and probably originated from subduction-modified mantle sources in a convergent plate margin environment. An oceanic basin may have existed in central Prince Charles Mountains about 1300 Ma ago and was closed as a result of continental collision around 1000 to 800 Ma.</t>
  </si>
  <si>
    <t>Graz Univ, Inst Geol, A-8010 Graz, Austria; Inst Precambrian Geol &amp; Geochronol, St Petersburg 199034, Russia; Polar Marine Geol Res Expedit, Lomonosov 189510, Russia; VNIIOkeangeol, St Petersburg 190121, Russia</t>
  </si>
  <si>
    <t>University of Graz; Russian Academy of Sciences; Institute of Precambrian Geology &amp; Geochronology of the Russian Academy of Sciences</t>
  </si>
  <si>
    <t>Stüwe, K (corresponding author), Graz Univ, Inst Geol, Heinrichstr 26, A-8010 Graz, Austria.</t>
  </si>
  <si>
    <t>Belyatsky, Boris/V-6644-2019; Mikhalsky, E./I-7556-2013</t>
  </si>
  <si>
    <t>Belyatsky, Boris/0000-0002-4022-9366;</t>
  </si>
  <si>
    <t>10.1017/S0954102099000437</t>
  </si>
  <si>
    <t>WOS:000086753000009</t>
  </si>
  <si>
    <t>Perchiazzi, N; Folco, L; Mellini, M</t>
  </si>
  <si>
    <t>Volcanic ash bands in the Frontier Mountain and Lichen Hills blue-ice fields, northern Victoria Land</t>
  </si>
  <si>
    <t>Antarctica; blue-ice; Frontier Mountain; Lichen Hills; particle size; tephra; volcanic ash bands</t>
  </si>
  <si>
    <t>CHEMICAL CLASSIFICATION; TEPHRA LAYERS; DOME-C; ANTARCTICA; SHEET; ROCKS; DUST; CORE</t>
  </si>
  <si>
    <t>Dust bands in the blue-ice of the Frontier Mountain meteorite trap (northern Victoria Land, Antarctica) were previously reported as upthrust basal debris. Four of them have now been sampled at Frontier Mountain and Lichen Hills. The absence of local rocks and sedimentary fragments, the ubiquitous abundant volcanic glass with no evidence for abrasion, the igneous minerals, the chemical compositions of glass and minerals and the bulk chemical compositions indicate that they are volcanic ash bands (tephra) and not glacial debris. Although hardly distinguishable in the field, the different volcanic ash bands are discriminated using mineralogical and chemical data, as well as particle size, abundance and vesicularity of glass. Chronological constraints, particle size and chemical compositions localize the source for the Frontier Mountain and Lichen Hills tephra within the recent activity of the Mount Melbourne Volcanic Province in northern Victoria Land; possible emission centres are the Pleiades (40 +/- 50 ka to 3 +/- 14 ka) and/or Mount Rittmann (3.97 Ma to present).</t>
  </si>
  <si>
    <t>Univ Pisa, Dipartimento Sci Terra, I-56100 Pisa, Italy; Museo Nazl Antartide, I-53100 Siena, Italy; Dipartimento Sci Terra, I-53100 Siena, Italy</t>
  </si>
  <si>
    <t>University of Pisa</t>
  </si>
  <si>
    <t>Perchiazzi, N (corresponding author), Univ Pisa, Dipartimento Sci Terra, Via S Maria 53, I-56100 Pisa, Italy.</t>
  </si>
  <si>
    <t>Folco, Luigi/AAA-6351-2020; Perchiazzi, Natale/A-9578-2018; Folco, Luigi/AAB-8586-2021</t>
  </si>
  <si>
    <t>Perchiazzi, Natale/0000-0003-3229-2282; Folco, Luigi/0000-0002-7276-3483</t>
  </si>
  <si>
    <t>10.1017/S0954102099000449</t>
  </si>
  <si>
    <t>WOS:000086753000010</t>
  </si>
  <si>
    <t>Smellie, JL</t>
  </si>
  <si>
    <t>Lithostratigraphy of Miocene - Recent, alkaline volcanic fields in the Antarctic Peninsula and eastern Ellsworth Land</t>
  </si>
  <si>
    <t>alkaline volcanism; Antarctic Peninsula; lithostratigraphy; monogenetic; palaeoenvironment; polygenetic; volcanic field</t>
  </si>
  <si>
    <t>COCKBURN ISLAND FORMATION; FORE-ARC MAGMATISM; ALEXANDER ISLAND; TECTONIC IMPLICATIONS; SUBDUCTION HISTORY; JASON PENINSULA; STRATIGRAPHY; PLIOCENE; AGE; GENERATION</t>
  </si>
  <si>
    <t>Miocene-Recent alkaline volcanic rocks form numerous outcrops scattered widely throughout the Antarctic Peninsula and eastern Ellsworth Land. They occur mainly as short-lived (typically 1-2 million years) monogenetic volcanic fields but include a large outcrop area in northern Antarctic Peninsula which includes several substantial polygenetic shield volcanoes that were erupted over a 10 million year period (the James Ross Island Volcanic Group (JRIVG)). As a whole, the outcrops are of considerable importance for our understanding of the kinematic, petrological and palaeoenvironmental evolution of the region during the late Cenozoic. Until now, there has been no formal stratigraphical framework for the volcanism. Knowledge of the polygenetic JRIVG is still relatively poor, whereas a unifying lithostratigraphy is now possible for the monogenetic volcanic fields. For the latter, two new volcanic groups and twelve formations are defined, together with descriptions of the type sections. The volcanic fields (both polygenetic and monogenetic) vary in area from c. 1 to 4500 km(2), and aeromagnetic data suggest that one may exceed 7000 km(2). The rocks are divisible into two contrasting petrological 'series', comprising basanites-phonotephrites and alkali basalts-tholeiites. The JRIVG is dominated by alkali basalts-tholeiites but also contains rare basanites, and phonotephrite-tephriphonolite compositions occur in mi nor pegmatitic segregations in si Ils. By contrast, in the monogenetic volcanic fields, basanites-phonotephrites generally form the older outcrops (mainly 15-5.4 Ma) and alkali basalts-tholeiites the younger outcrops (4(?)-&lt;1 Ma). Throughout the region, erupted volumes of alkali basalts-tholeiites were an order of magnitude greater, at least, than those of basanite-phonotephrite compositions. Interpretation of the lithofacies indicates varied Miocene-Recent palaeoenvironments, including eruption and deposition in a marine setting, and beneath Alpine valley glaciers and ice sheets. Former ice sheets several hundred metres thick, and fluctuating ice surface elevations, which were generally higher during the eruptive periods than at present, can also be demonstrated.</t>
  </si>
  <si>
    <t>Smellie, JL (corresponding author), British Antarctic Survey, NERC, High Cross,Madingley Rd, Cambridge CB3 0ET, England.</t>
  </si>
  <si>
    <t>10.1017/S0954102099000450</t>
  </si>
  <si>
    <t>WOS:000086753000011</t>
  </si>
  <si>
    <t>Galkin, A; Kulakova, L; Ashida, H; Sawa, Y; Esaki, N</t>
  </si>
  <si>
    <t>Cold-adapted alanine dehydrogenases from two antarctic bacterial strains: Gene cloning, protein characterization, and comparison with mesophilic and thermophilic counterparts</t>
  </si>
  <si>
    <t>APPLIED AND ENVIRONMENTAL MICROBIOLOGY</t>
  </si>
  <si>
    <t>THERMAL-STABILITY; THERMOSTABILITY; SEQUENCE; ENZYMES; ADAPTATION; RESIDUES; DNA</t>
  </si>
  <si>
    <t>The genes encoding NAD(+)-dependent alanine dehydrogenases (AlaDHs) (EC 1.4.1.1) from the Antarctic bacterial organisms Shewanella sp. strain Ac10 (SheAlaDH) and Carnobacterium sp. strain St2 (CarAlaDH) were cloned and expressed in Escherichia coli. Of all of the AlaDHs that have been Sequenced, SheAlaDH exhibited the highest level Of sequence similarity to the AlaDH from the gram-negative bacterium Vibrio proteolyticus (VprAlaDH). CarAlaDH was most similar to AlaDHs from mesophilic and thermophilic Bacillus strains. SheAlaDH and CarAlaDH had features typical of cold-adapted enzymes; both the optimal temperature for catalytic activity and the temperature limit for retaining thermostability were lower than the values obtained for the mesophilic counterparts. The k(cat)/K-m value for the SheAlaDH reaction was about three times higher than the k(cat)/K-m value for VprAlaDH, but it was much lower than the k(cat)/K-m value for the AlaDH from Bacillus subtilis. Homology-based structural models of various AlaDHs, including the two psychrotrophic AlaDHs, were constructed. The thermal instability of SheAlaDH and CarAlaDH may result from relatively low numbers of salt bridges in these proteins.</t>
  </si>
  <si>
    <t>Kyoto Univ, Inst Chem Res, Uji, Kyoto 6110011, Japan; Shimane Univ, Fac Agr, Dept Appl Biochem, Matsue, Shimane 690, Japan</t>
  </si>
  <si>
    <t>Kyoto University; Shimane University</t>
  </si>
  <si>
    <t>Esaki, N (corresponding author), Kyoto Univ, Inst Chem Res, Uji, Kyoto 6110011, Japan.</t>
  </si>
  <si>
    <t>Sawa, Yoshihiro/F-8295-2017</t>
  </si>
  <si>
    <t>Sawa, Yoshihiro/0000-0002-2379-470X</t>
  </si>
  <si>
    <t>AMER SOC MICROBIOLOGY</t>
  </si>
  <si>
    <t>1325 MASSACHUSETTS AVENUE, NW, WASHINGTON, DC 20005-4171 USA</t>
  </si>
  <si>
    <t>0099-2240</t>
  </si>
  <si>
    <t>APPL ENVIRON MICROB</t>
  </si>
  <si>
    <t>Appl. Environ. Microbiol.</t>
  </si>
  <si>
    <t>Biotechnology &amp; Applied Microbiology; Microbiology</t>
  </si>
  <si>
    <t>233HL</t>
  </si>
  <si>
    <t>WOS:000082421400039</t>
  </si>
  <si>
    <t>Piovano, M; Guzman, G; Garbarino, JA; Chamy, MC</t>
  </si>
  <si>
    <t>The chemistry of Bacidia stipata (Lichens, Ascomycotin) Part XXVIII -: Studies on Chilean lichens</t>
  </si>
  <si>
    <t>BIOCHEMICAL SYSTEMATICS AND ECOLOGY</t>
  </si>
  <si>
    <t>Bacidia stipata Bacidiaceae; Antarctic lichen; fruticose biotype; secondary metabolites</t>
  </si>
  <si>
    <t>Univ Tecn Federico Santa Maria, Dept Quim, Valparaiso, Chile; Univ Playa Ancha Ciencias Educ, Fac Ciencias, Valparaiso, Chile</t>
  </si>
  <si>
    <t>Universidad Tecnica Federico Santa Maria</t>
  </si>
  <si>
    <t>Garbarino, JA (corresponding author), Univ Tecn Federico Santa Maria, Dept Quim, Casilla 110-V, Valparaiso, Chile.</t>
  </si>
  <si>
    <t>0305-1978</t>
  </si>
  <si>
    <t>BIOCHEM SYST ECOL</t>
  </si>
  <si>
    <t>Biochem. Syst. Ecol.</t>
  </si>
  <si>
    <t>10.1016/S0305-1978(98)00120-3</t>
  </si>
  <si>
    <t>Biochemistry &amp; Molecular Biology; Ecology; Evolutionary Biology</t>
  </si>
  <si>
    <t>Biochemistry &amp; Molecular Biology; Environmental Sciences &amp; Ecology; Evolutionary Biology</t>
  </si>
  <si>
    <t>194RG</t>
  </si>
  <si>
    <t>WOS:000080206900011</t>
  </si>
  <si>
    <t>Bluestein, M; Zecher, J</t>
  </si>
  <si>
    <t>A new approach to an accurate wind chill factor</t>
  </si>
  <si>
    <t>ERRORS</t>
  </si>
  <si>
    <t>Winter weather often shows a severity marked by low dry-bulb temperature combined with high wind speed. The wind chill factor is now a standard meteorological term to express this severity. This factor, or more appropriately the wind chill temperature, represents that air temperature without wind that would effect the same heat loss rate from bare human skin as that due to the actual combined dry-bulb temperature and wind. Currently used wind chill factors derive from a study conducted by the U.S. Antarctic Service over 50 years ago. The data then collected was used to develop a cooling rate as a function of wind speed, which in turn was used to formulate an equation still in use today. The equation is based on primitive experiments with a container of freezing water and an unrealistically high human skin temperature. A more appropriate estimate of the thermal properties of the skin and implementation of modern heat transfer theory can provide a more realistic wind chill factor. Recent research studies suggest that the wind chill equation currently used overestimates the effect of the wind for the range of temperatures and wind speeds expected. This paper provides a new formula for the wind chill factor and a chart of wind chill temperatures for various combinations of dry-bulb temperatures and wind speeds as measured by standard techniques.</t>
  </si>
  <si>
    <t>Indiana Univ Purdue Univ, Purdue Sch Engn &amp; Technol, Dept Mfg Technol, Indianapolis, IN 46202 USA</t>
  </si>
  <si>
    <t>Purdue University System; Purdue University; Indiana University System; Indiana University-Purdue University Indianapolis</t>
  </si>
  <si>
    <t>Bluestein, M (corresponding author), Indiana Univ Purdue Univ, Purdue Sch Engn &amp; Technol, Dept Mfg Technol, 799 W Michigan St, Indianapolis, IN 46202 USA.</t>
  </si>
  <si>
    <t>10.1175/1520-0477(1999)080&lt;1893:ANATAA&gt;2.0.CO;2</t>
  </si>
  <si>
    <t>232RK</t>
  </si>
  <si>
    <t>WOS:000082383600006</t>
  </si>
  <si>
    <t>Lee, PA; Haase, R; de Mora, SJ; Chanut, JP; Gosselin, M</t>
  </si>
  <si>
    <t>Dimethylsulfoxide (DMSO) and related sulfur compounds in the Saguenay Fjord, Quebec</t>
  </si>
  <si>
    <t>DIMETHYL SULFIDE; ANTARCTIC WATERS; DIMETHYLSULPHONIOPROPIONATE; MECHANISM; EMISSIONS; LAWRENCE; MARINE; GULF; ICE</t>
  </si>
  <si>
    <t>The biogeochemical cycling of dimethylated sulfur compounds was investigated in the Saguenay Fjord during June 1996, just prior to the flooding in the catchment area. Dimethylated sulfur compounds, namely dimethylsulfide (DMS), dimethylsulfoniopropionate (DMSP), and dimethylsulfoxide (DMSO), were determined at six sites. In comparison with other coastal environments, including the Gulf of St. Lawrence, DMS (0-1.8 nmol.L-1 average &lt;0.2 nmo.L-1) and DMSP (0-23 nmol.L-1, average &lt;0.8 nmol.L-1) concentrations were relatively low because the brackish waters were poor in algal abundance and dominated by species not noted as major DMS and DMSP producers. Similarly, dissolved DMSO levels (&lt;0.016 nmol.L-1) were low due to the limited availability of its DMS precursor and the shallow photic zone. Particulate DMSO was measured (0-110 nmol.L-1, average similar to 8 nmol.L-1) and occasionally exceeded particulate DMSP concentrations (0.016-140 nmol L-1, average similar to 3.5 nmol.L-1). Given the low dissolved DMSO concentrations, the presence of particulate DMSO provides evidence for its direct biosynthesis phytoplankton.</t>
  </si>
  <si>
    <t>Univ Quebec, Inst Sci Mer, Rimouski, PQ G5L 3A1, Canada</t>
  </si>
  <si>
    <t>University of Quebec</t>
  </si>
  <si>
    <t>de Mora, SJ (corresponding author), Int Atom Energy Agcy, Marine Environm Lab, 4 Quai Antoine 1er,BP 800, MC-98012 Monaco, Monaco.</t>
  </si>
  <si>
    <t>Gosselin, Michel/B-4477-2014</t>
  </si>
  <si>
    <t>Gosselin, Michel/0000-0002-1044-0793</t>
  </si>
  <si>
    <t>10.1139/cjfas-56-9-1631</t>
  </si>
  <si>
    <t>239AB</t>
  </si>
  <si>
    <t>WOS:000082745700013</t>
  </si>
  <si>
    <t>The effect of sea ice on the transient atmospheric eddies of the Southern Hemisphere</t>
  </si>
  <si>
    <t>CLIMATE DYNAMICS</t>
  </si>
  <si>
    <t>GENERAL-CIRCULATION MODEL; SEMIANNUAL OSCILLATION; EXTRATROPICAL CYCLONE; ANTARCTIC PENINSULA; CARBON-DIOXIDE; CLIMATE; SENSITIVITY; WINTER; VARIABILITY; SIMULATIONS</t>
  </si>
  <si>
    <t>Two 10 y simulations with a full seasonal cycle and 96 x 72 x 19 resolution were carried out with a version of the LMD GCM to diagnose the role of sea-ice on the extratropical climatology of the Southern Hemisphere. The control integration used the usual observed sea-ice distribution, while the anomaly simulation imposed a scenario in which all sea-ice was entirely replaced by open ocean. The simulated control climate was compared with available observational-based analyses. Relevant diagnostics of the time mean and indicators of the transient eddy activity have been evaluated for both integrations. The impact was shown throughout the troposphere and was larger and more organised in winter. We found reduced westerly flow and both falls and rises in sea level pressure in the region from which sea-ice was removed. The removal of ice in the Southern Ocean affects the baroclinic structure of the atmosphere. Changes in baroclinicity and eddy activity are consistent with changes in the mean climate. In general, the meridional wind variance, the poleward transient temperature flux and the eddy flux convergence of westerly momentum were weaker over the Southern Ocean. However, a strengthening of the variance downstream of the subtropical jet was found. The position of the main storm track tends to be slightly displaced equatorward in the anomaly case.</t>
  </si>
  <si>
    <t>Consejo Nacional de Investigaciones Cientificas y Tecnicas (CONICET); University of Buenos Aires; Centre National de la Recherche Scientifique (CNRS); Sorbonne Universite</t>
  </si>
  <si>
    <t>Menéndez, CG (corresponding author), Univ Buenos Aires, CONICET, Ctr Invest Mar &amp; Atmosfera, Cuidad Univ,Pabellon 2,Piso 2, RA-1428 Buenos Aires, DF, Argentina.</t>
  </si>
  <si>
    <t>0930-7575</t>
  </si>
  <si>
    <t>CLIM DYNAM</t>
  </si>
  <si>
    <t>Clim. Dyn.</t>
  </si>
  <si>
    <t>10.1007/s003820050308</t>
  </si>
  <si>
    <t>236WK</t>
  </si>
  <si>
    <t>WOS:000082622100004</t>
  </si>
  <si>
    <t>Strullu, DG; Frenot, Y; Maurice, D; Gloaguen, JC; Plenchette, C</t>
  </si>
  <si>
    <t>First study of mycorrhizae in the Kerguelen islands</t>
  </si>
  <si>
    <t>COMPTES RENDUS DE L ACADEMIE DES SCIENCES SERIE III-SCIENCES DE LA VIE-LIFE SCIENCES</t>
  </si>
  <si>
    <t>French</t>
  </si>
  <si>
    <t>Subantarctic; Kerguelen; mycorrhizae; glomales</t>
  </si>
  <si>
    <t>ENDOMYCORRHIZAL FUNGI; ANTARCTICA; GLOMUS; ORIGIN; PLANTS</t>
  </si>
  <si>
    <t>Until recently mycorrhizae had not been studied in the Antarctic region. Some studies have demonstrated that mycorrhizae occur in some southern circumpolar islands. This paper gives the first results on the mycorrhizae in the Kerguelen islands (Sub-antarctic). Twenty-one plant root systems, fixed in the field, were examined microscopically in the laboratory to determine their mycorrhizal status. No ectomycorrhiza, arbutoid or ericoid were noted. Six plant species showed vesicular arbuscular mycorrhizae: Ranunculus biternatus, Galium antarcticum, Festuca erecta, Poa kerguelensis, Agrostis magellanica and Poa annua. However, the mycorrhizal status varied according to the site studied. (C) 1999 Academie des sciences/Editions scientifiques et medicales Elsevier SAS.</t>
  </si>
  <si>
    <t>Univ Angers, Lab Biol &amp; Physiol Vegetales, F-49045 Angers, France; Univ Rennes 1, Biol Stn, CNRS, UMR 6553, F-35380 Paimpont, France; Univ Rennes 1, Ecol Vegetale Lab, CNRS, UMR 6553, F-35042 Rennes, France; INRA, Stn Agron, F-21034 Dijon, France</t>
  </si>
  <si>
    <t>Universite d'Angers; Universite de Rennes; Centre National de la Recherche Scientifique (CNRS); CNRS - Institute of Ecology &amp; Environment (INEE); Centre National de la Recherche Scientifique (CNRS); CNRS - Institute of Ecology &amp; Environment (INEE); Universite de Rennes; INRAE</t>
  </si>
  <si>
    <t>Strullu, DG (corresponding author), Univ Angers, Lab Biol &amp; Physiol Vegetales, 2 Blvd Lavoisier, F-49045 Angers, France.</t>
  </si>
  <si>
    <t>0764-4469</t>
  </si>
  <si>
    <t>CR ACAD SCI III-VIE</t>
  </si>
  <si>
    <t>Comptes Rendus Acad. Sci. Ser. III-Sci. Vie-Life Sci.</t>
  </si>
  <si>
    <t>10.1016/S0764-4469(00)80035-9</t>
  </si>
  <si>
    <t>Biology; Multidisciplinary Sciences</t>
  </si>
  <si>
    <t>Life Sciences &amp; Biomedicine - Other Topics; Science &amp; Technology - Other Topics</t>
  </si>
  <si>
    <t>245HH</t>
  </si>
  <si>
    <t>WOS:000083100400006</t>
  </si>
  <si>
    <t>Udintsev, GB; Schenke, HW; Schoene, T; Beresnev, AF; Efimov, PN; Kol'tsova, AV; Knyasev, AB; Teterin, DE; Kurentsova, NA; Bulychev, AA; Gilod, DA</t>
  </si>
  <si>
    <t>Morphodynamics of the prograding rift of the Bransfield strait, West Antarctic</t>
  </si>
  <si>
    <t>VI Vernadskii Inst Geochem &amp; Analyt Chem, Moscow 117975, Russia; Alfred Wegener Inst Polar &amp; Marine Res, D-2850 Bremerhaven, Germany; Moscow MV Lomonosov State Univ, Moscow, Russia</t>
  </si>
  <si>
    <t>Russian Academy of Sciences; Vernadsky Institute of Geochemistry &amp; Analytical Chemistry; Helmholtz Association; Alfred Wegener Institute, Helmholtz Centre for Polar &amp; Marine Research; Lomonosov Moscow State University</t>
  </si>
  <si>
    <t>Udintsev, GB (corresponding author), VI Vernadskii Inst Geochem &amp; Analyt Chem, Moscow 117975, Russia.</t>
  </si>
  <si>
    <t>Schöne, Tilo/C-7403-2019</t>
  </si>
  <si>
    <t>Schöne, Tilo/0000-0003-4118-9578</t>
  </si>
  <si>
    <t>MAIK NAUKA/INTERPERIODICA/SPRINGER</t>
  </si>
  <si>
    <t>233 SPRING ST, NEW YORK, NY 10013-1578 USA</t>
  </si>
  <si>
    <t>268NB</t>
  </si>
  <si>
    <t>WOS:000084421500029</t>
  </si>
  <si>
    <t>Norman, FI; Ward, SJ</t>
  </si>
  <si>
    <t>Aspects of the ecology of South Polar Skuas Catharacta maccormicki at Hop Island, Rauer Group, East Antarctica</t>
  </si>
  <si>
    <t>EMU</t>
  </si>
  <si>
    <t>BROWN SKUAS; FOODS; SIZE</t>
  </si>
  <si>
    <t>Aspects of the ecology of South Polar Skuas Catharacta maccormicki were investigated at Hop Island, Rauer Group, East Antarctica between December 1990 and February 1991. Data were obtained from pairs across the island generally for comparison with skuas (fringe-dwellers) nesting away from Adelie Penguin Pygoscelis adeliae, colonies. While most defended territories included colonies of Adelie Penguins, Antarctic Petrels Thalassoica antarctica or Southern Fulmars Fulmarus glacialoides, others held no surface-nesting seabirds; however, all skuas took penguin material. Activities of two fringe-dwelling pairs, whose territories included fulmars, and fulmars and petrels, were intensively monitored; behaviours were associated mostly with brooding, vigilance or foraging. Foraging trips were longer and less frequent where only fulmars bred, but hunting success was similar to that of the pair hunting in petrel and fulmar colonies. The small number of fringe-dwelling pairs produced proportionally fewer chicks than others; the need to forage away from nesting areas, and to obtain penguin material, even when feeding territories include Antarctic Petrels and or Southern Fulmars, indicates the lower quality of their territories (which may vary). Breeding and other activities are considered in relation to breeding chronology of other local seabirds: the breeding success of fringe-dwellers may be modified by that of neighbouring seabird colonies.</t>
  </si>
  <si>
    <t>Monash Univ, Dept Ecol &amp; Evolutionary Biol, Clayton, Vic 3168, Australia</t>
  </si>
  <si>
    <t>Monash University</t>
  </si>
  <si>
    <t>Norman, FI (corresponding author), Univ Melbourne, Dept Zool, Parkville, Vic 3052, Australia.</t>
  </si>
  <si>
    <t>ROYAL AUSTRALASIAN ORNITHOLOGISTS UNION</t>
  </si>
  <si>
    <t>HAWTHORN EAST</t>
  </si>
  <si>
    <t>415 RIVERSDALE RD,, HAWTHORN EAST, VICTORIA 3123, AUSTRALIA</t>
  </si>
  <si>
    <t>0158-4197</t>
  </si>
  <si>
    <t>Emu</t>
  </si>
  <si>
    <t>10.1071/MU99021</t>
  </si>
  <si>
    <t>232GK</t>
  </si>
  <si>
    <t>WOS:000082362600003</t>
  </si>
  <si>
    <t>Imber, MJ</t>
  </si>
  <si>
    <t>Diet and feeding ecology of the Royal Albatross Diomedea epomophora -: King of the shelf break and inner slope</t>
  </si>
  <si>
    <t>MOROTEUTHIS-INGENS CEPHALOPODA; WANDERING ALBATROSSES; NEW-ZEALAND; CROZET ISLANDS; ATLANTIC; EXULANS; SQUID; ONYCHOTEUTHIDAE; SURVIVAL; STOMACH</t>
  </si>
  <si>
    <t>Diet samples, mainly regurgitations by Royal Albatross Diomedea epomophora nestlings, were obtained at Chatham Islands: (34), Taiaroa Head (151) and Campbell island (79), New Zealand, between 1973 and 1997. Cephalopods and fish were the main items of food, with only small amounts of crustaceans and tunicates. Being completely digested faster, fish are likely to be underrepresented in the samples, but most identified were fisheries targets or by-catch. Prevalent cephalopods eaten were Histioteuthidae, Onychoteuthidae, Cranchiidae and, at Taiaroa Head, Octopodidae. Although Histioteuthis atlantica was generally the most commonly taken species, Moroteuthopsis ingens adults contributed most biomass and this indicates that most feeding was possibly on post-spawning cephalopods. While partly similar to the diet of the Wandering Albatross D. exulans species-group, the relative absence of oceanic species in the diet of Royal Albatross indicates that it feeds closer to land, or over shallower waters, than the former, and that it avoids Antarctic waters. The preference of Royal Albatross: for M. ingens could explain their migration between two apparent centres of distribution of M. ingens: the continental shelf break and inner slope of southern New Zealand and of southern Chile-Argentina. These feeding areas also keep Royal Albatross away for much of the time from most seas where tuna long-lining occurs, rendering them less vulnerable than Wandering Albatross to such by-catch mortality. Scavenging at fishing vessels may now provide an increased food supply, and partly account for the increase in some populations.</t>
  </si>
  <si>
    <t>Dept Conservat, Sci &amp; Res Unit, Wellington, New Zealand</t>
  </si>
  <si>
    <t>Imber, MJ (corresponding author), Dept Conservat, Sci &amp; Res Unit, POB 10 420, Wellington, New Zealand.</t>
  </si>
  <si>
    <t>CSIRO PUBLISHING</t>
  </si>
  <si>
    <t>CLAYTON</t>
  </si>
  <si>
    <t>UNIPARK, BLDG 1, LEVEL 1, 195 WELLINGTON RD, LOCKED BAG 10, CLAYTON, VIC 3168, AUSTRALIA</t>
  </si>
  <si>
    <t>1448-5540</t>
  </si>
  <si>
    <t>10.1071/MU99023</t>
  </si>
  <si>
    <t>WOS:000082362600005</t>
  </si>
  <si>
    <t>Harding, MM; Ward, LG; Haymet, ADJ</t>
  </si>
  <si>
    <t>Type I 'antifreeze' proteins - Structure-activity studies and mechanisms of ice growth inhibition</t>
  </si>
  <si>
    <t>EUROPEAN JOURNAL OF BIOCHEMISTRY</t>
  </si>
  <si>
    <t>antifreeze; fish; alpha-helices; hysteresis; ice; ice/water interface; proteins; sculpin; winter flounder</t>
  </si>
  <si>
    <t>WINTER FLOUNDER ANTIFREEZE; MOLECULAR-DYNAMICS SIMULATION; POINT-DEPRESSING GLYCOPROTEINS; WATER INTERFACE; FREEZING RESISTANCE; BINDING MECHANISM; ANTARCTIC FISHES; POLAR FISHES; AMINO-ACIDS; SEA RAVEN</t>
  </si>
  <si>
    <t>The type I 'antifreeze' proteins, found in the body fluids of fish inhabiting polar oceans, are alanine-rich or-helical proteins that are able to inhibit the growth of ice. Within this class there are two distinct subclasses of proteins: those related to the winter flounder sequence HPLC6 and which contain Ii-residue repeat units commencing with threonine; and those from the sculpins that are unique in the N-terminal region that contains established helix breakers and lacks the 11-residue repeat structure present in the rest of the protein. Although 14 type I proteins have been isolated, almost all research has focused on HPLC6, the 37-residue protein from the winter flounder Pseudopleuronectes americanus. This protein modifies both the rate and shape (or 'habit') of ice crystal growth, displays hysteresis and accumulates specifically at the (2 0 (2) over bar 1) ice plane. Until very recently, all models to explain the mechanism for this specific interaction have relied on the interaction of the four threonine hydroxyls, which are spaced equally apart on one face of the helix, with the ice lattice. In contrast, proteins belonging to the sculpin family accumulate specifically at the (2 (1) over bar (1) over bar 0) plane. The molecular origin of this difference in specificity between the flounder and sculpin proteins is not understood. This review will summarize the structure-activity and molecular modelling and dynamics studies on HPLC6, with an emphasis on recent studies in which the threonine residues have been mutated. These studies have identified important hydrophobic contributions to the ice growth inhibition mechanism. Some 50 mutants of HPLC6 have been reported and the data is consistent with the following requirements for ice growth inhibition: (a) a minimum length of approx. 25 residues; (b) an alanine-rich sequence in order to induce a highly helical conformation; (c) a hydrophobic face; (d) a number of charged/polar residues which are involved in solubility and/or interaction with the ice surface. The emerging picture, that requires further dynamics studies including accurate modelling of the ice/water interface, suggests that a hydrophobic interaction between the surface of the protein and ice is the key to explaining accumulation at specific ice planes, and thus the molecular level mechanism for ice growth inhibition.</t>
  </si>
  <si>
    <t>Univ Sydney, Sch Chem, Sydney, NSW 2006, Australia; Univ Houston, Dept Chem, Houston, TX 77004 USA; Univ Houston, Inst Mol Design, Houston, TX 77004 USA</t>
  </si>
  <si>
    <t>University of Sydney; University of Houston System; University of Houston; University of Houston System; University of Houston</t>
  </si>
  <si>
    <t>Harding, MM (corresponding author), Univ Sydney, Sch Chem, Sydney, NSW 2006, Australia.</t>
  </si>
  <si>
    <t>Haymet, Anthony/A-9881-2009</t>
  </si>
  <si>
    <t>Haymet, Anthony/0000-0002-5617-2106; Harding, Margaret/0000-0003-1072-3870</t>
  </si>
  <si>
    <t>0014-2956</t>
  </si>
  <si>
    <t>EUR J BIOCHEM</t>
  </si>
  <si>
    <t>Eur. J. Biochem.</t>
  </si>
  <si>
    <t>10.1046/j.1432-1327.1999.00617.x</t>
  </si>
  <si>
    <t>Biochemistry &amp; Molecular Biology</t>
  </si>
  <si>
    <t>238GC</t>
  </si>
  <si>
    <t>WOS:000082701700001</t>
  </si>
  <si>
    <t>Villafañe, VE; Andrade, M; Lairana, V; Zaratti, F; Helbling, EW</t>
  </si>
  <si>
    <t>Inhibition of phytoplankton photosynthesis by solar ultraviolet radiation:: studies in Lake Titicaca, Bolivia</t>
  </si>
  <si>
    <t>FRESHWATER BIOLOGY</t>
  </si>
  <si>
    <t>ultraviolet radiation; phytoplankton; photosynthesis; inhibition; Lake Titicaca</t>
  </si>
  <si>
    <t>B RADIATION; UV-A; ANTARCTIC PHYTOPLANKTON; OZONE DEPLETION; PHOTOINHIBITION; RESPONSES; CYANOBACTERIA; PROTECTION; ORGANISMS; GROWTH</t>
  </si>
  <si>
    <t>1. Lake Titicaca is a large, high altitude (3810 m a.s.l.) tropical lake (16 degrees S, 68 degrees W) that lies on the border of Bolivia and Peru, receiving high fluxes of ultraviolet radiation (UVR) throughout the year. Our studies were conducted during September of 1997 with the main objective of studying the impact of solar UVR upon phytoplankton photosynthesis. 2. Water samples were taken daily and incubated in situ (down to 14 m depth) under three radiation treatments to study the relative responses to PAR (Photosynthetic Available Radiation, 400-700 nm), UV-A (320-400 nm), and W-B (280-320 nm) radiation. 3. Photosynthetic inhibition by UVR in surface waters was about 80%, with W-A accounting for 60% and UV-B for 20%; the inhibition by high levels of PAR was less than 20%. The inhibition due to UVR decreased with depth so that there were no significant differences between treatments at 8.5 m depth. 4. The amount of inhibition per unit energy received by phytoplankton indicates that even though there was a significant inhibition of photosynthesis due to UVR, species in Lake Titicaca seem to be better adapted than species in high latitude environments. 5. The cellular concentration of UV-absorbing compounds, a possible mechanism of photoadaptation, was low in phytoplanktonic species. However, they were abundant in zooplankton, suggesting a high rate of bioaccumulation through the diet.</t>
  </si>
  <si>
    <t>Estacion Fotobiol Playa Union, RA-9100 Trelew, Chubut, Argentina; Univ Mayor San Andres, Inst Invest Fis, Lab Ozono &amp; Radiacion Ultravioleta, La Paz, Bolivia; Consejo Nacl Invest Cient &amp; Tecn, Consejo Nacl Invest Cient &amp; Tecn, RA-1033 Buenos Aires, DF, Argentina</t>
  </si>
  <si>
    <t>Universidad Mayor de San Andres; Consejo Nacional de Investigaciones Cientificas y Tecnicas (CONICET)</t>
  </si>
  <si>
    <t>Estacion Fotobiol Playa Union, Casilla de Correos 153, RA-9100 Trelew, Chubut, Argentina.</t>
  </si>
  <si>
    <t>fotobiol@cpsarg.com</t>
  </si>
  <si>
    <t>Andrade Flores, Marcos Froilan/GSE-4415-2022</t>
  </si>
  <si>
    <t>Andrade, Marcos/0000-0002-9736-493X; Villafane, Virginia/0000-0002-9552-6069</t>
  </si>
  <si>
    <t>0046-5070</t>
  </si>
  <si>
    <t>1365-2427</t>
  </si>
  <si>
    <t>FRESHWATER BIOL</t>
  </si>
  <si>
    <t>Freshw. Biol.</t>
  </si>
  <si>
    <t>10.1046/j.1365-2427.1999.444453.x</t>
  </si>
  <si>
    <t>240QX</t>
  </si>
  <si>
    <t>WOS:000082837600002</t>
  </si>
  <si>
    <t>Engrand, C; McKeegan, KD; Leshin, LA</t>
  </si>
  <si>
    <t>Oxygen isotopic compositions of individual minerals in Antarctic micrometeorites: Further links to carbonaceous chondrites</t>
  </si>
  <si>
    <t>GEOCHIMICA ET COSMOCHIMICA ACTA</t>
  </si>
  <si>
    <t>INTERPLANETARY DUST PARTICLES; ISOLATED OLIVINE GRAINS; UNEQUILIBRATED ORDINARY CHONDRITES; ALLENDE METEORITE; EXTRATERRESTRIAL ORIGIN; OXYGEN-16-RICH MATERIAL; CHONDRULE OLIVINE; FORSTERITE GRAINS; INCLUSIONS; GREENLAND</t>
  </si>
  <si>
    <t>We report in situ measurements of oxygen isotopic abundances in individual silicate and oxide minerals from 16 Antarctic micrometeorites (AMMs). The oxygen isotopic compositions of 10 olivine and 11 pyroxene grains are enriched in O-16 relative to terrestrial minerals, and on an oxygen three-isotope diagram they plot on the low delta(18)O side of thr O-16 mixing line defined by calcium-aluminum-rich inclusions (CAI) from chondritic meteorites. AMM olivine and pyroxene delta(18)O values range from -9.9 parts per thousand to +8.0 parts per thousand and delta(17)O ranges from -11.3 parts per thousand to +5.5 parts per thousand, similar to values measured in individual olivine grains and whole chondrules from carbonaceous chondrites. These data indicate that the mineral grains preserve their pre-terrestrial oxygen isotopic compositions, and provide another link between AMMs and carbonaceous chondrites. However, no clear relationship with one single subgroup of carbonaceous chondrite can be established. Based on their textures, crystal chemistries, and oxygen isotopes, some coarse-grained crystalline AMMs could originate from chondrule fragmentation. Whether the remaining mineral grains were formed by igneous or condensation processes is unclear. No clear correlation is observed between isotopic compositions and mineral compositions of AMM olivine grains, suggesting that the FeO- and O-16-enrichment processes are not coupled in a simple way. Nor are any relatively large O-16 enrichments measured in any of the olivine grains, however two Mg-Al spinels and a melilite grain an O-16 enriched at the level of delta(18)O similar to delta(17)O similar to -40 parts per thousand. The discovery of an O-16-enriched melilite grain in AMMs supports the hypothesis that refractory minerals throughout the solar nebula formed from a relatively uniformly O-16-enriched reservoir. This unique O-16-rich signature of refractory minerals in primitive solar system materials suggests that they either formed from a widespread O-16-rich reservoir in the solar nebula, or that an efficient mechanism (such as bipolar outflows) was acting to spread them from a highly localized O-16-rich region over the early solar nebula. Copyright (C) 1999 Elsevier Science Ltd.</t>
  </si>
  <si>
    <t>Univ Calif Los Angeles, Dept Earth &amp; Space Sci, Los Angeles, CA 90095 USA</t>
  </si>
  <si>
    <t>University of California System; University of California Los Angeles</t>
  </si>
  <si>
    <t>Ctr Spectrometrie Nucl &amp; Spectrometrie Masse, Bat 104,Orsay Campus, F-91405 Orsay, France.</t>
  </si>
  <si>
    <t>engrand@csnsm.in2p3.fr; laurie.leshin@asu.edu</t>
  </si>
  <si>
    <t>McKeegan, Kevin/A-4107-2008</t>
  </si>
  <si>
    <t>McKeegan, Kevin/0000-0002-1827-729X</t>
  </si>
  <si>
    <t>0016-7037</t>
  </si>
  <si>
    <t>1872-9533</t>
  </si>
  <si>
    <t>GEOCHIM COSMOCHIM AC</t>
  </si>
  <si>
    <t>Geochim. Cosmochim. Acta</t>
  </si>
  <si>
    <t>10.1016/S0016-7037(99)00160-X</t>
  </si>
  <si>
    <t>242NX</t>
  </si>
  <si>
    <t>WOS:000082948100010</t>
  </si>
  <si>
    <t>Stuart, FM; Harrop, PJ; Knott, S; Turner, G</t>
  </si>
  <si>
    <t>Laser extraction of helium isotopes from Antarctic micrometeorites:: Source of He and implications for the flux of extraterrestrial 3He to earth</t>
  </si>
  <si>
    <t>INTERPLANETARY DUST PARTICLES; DEEP-SEA SEDIMENTS; NOBLE-GASES; COSMIC DUST; STRATOSPHERIC PARTICLES; TEMPORAL VARIATION; NEON ISOTOPES; SOLAR HELIUM; BLUE ICE; METEORITES</t>
  </si>
  <si>
    <t>Helium isotopes have been measured in 45 putative micrometeorites in the size range 50 to 400 mu m that were extracted from Antarctic ice. Forty of the Antarctic micrometeorites (AMMs) are irregular in shape and display varying degrees of partial melting, whereas five are spherical and thought to represent completely melted particles. Of the 30 50- to 100-mu m suspected micrometeorites, only 8 released neither He-3 or He-4. Sixteen released He-3 and He-4 (0.003-3.5 X 10(-3) cm(3) STP/g), having He-3/He-4 in the range 1.5 X 10(-4) to 4.1 X 10(-4). Six particles released only He-3, yielding minimum He-3/He-4 of 1.6 to 10.6 x 10(-4), 5 of which fall in the range of values for AMMs that had measurable He-3 and He-4. Only 2 of the 15 100-to 400-mu m AMMs released measurable He-4 (4-44 X 10(-7) cc g(-1)). These have He-3/He-4 of 6 x 10(-4) and 20 x 10(-4), respectively, significantly higher than the majority of the ratios of 50-to 100-mu m AMMs. Implanted solar energetic particles are the dominant source of He in the 50- to 100-mu m AMMs, with small contributions of solar wind and/or spallogenic He present in 10 particles. The absence of SW-He is likely due to the loss of the outermost layers of the micrometeorites by ablation during atmospheric entry and abrasion during residence in ice and sampling. Spallation He is most important in the 100-to 400-mu m AMMs, consistent with their smaller surface area-to-volume ratio. Maximum spallation He-3 exposure ages of six particles are close to that predicted from Poynting Robertson spiral-in times of asteroidal micrometeorites. The two terrestrial particles, identified by chemical composition and mineralogy, released only He-4 yielding radiogenic He isotope compositions. An inverse relationship between particle sizes and solar He abundance is explained by He loss during entry. Helium loss is likely controlled by phyllosilicate breakdown, where present, and diffusion-controlled bubble growth and rupture rather than melting. The 50- to 100-mu m micrometeorites deliver 8 X 10(-8) cm(3) STP He-3/g to earth. This is more than 100 times less than transported by &lt;20-mu m particles (similar to 2 X 10(-5) cm(3) STP He-3/g) but, because 50- to 100-mu m micrometeorites deliver approximately 20 times more extraterrestrial matter to earth than &lt;20-mu m particles, the larger particles may contribute similar to 5% of the total flux of extraterrestrial He-3 to terrestrial sediments. The mean He concentrations of the 50- to 100-mu m AMMs (Antarctic micrometeorites) and the five spherules (2 +/-1 X 10(-9) cm(3) STP He-3 g(-1)) overlap those of the magnetic fraction of deep sea sediments (0.8-68 x 10(-9) cm(3) STP/g). A combination of this material could provide the extraterrestrial He-3 measured in ancient deep sea sediments without calling upon the survival of friable &lt;20-mu m chondritic interplanetary dust particles for tens of millions of years. Copyright (C) 1999 Elsevier Science Ltd.</t>
  </si>
  <si>
    <t>Scottish Univ Res &amp; Reactor Ctr, Isotope Geosci Unit, E Kilbride G75 0QF, Lanark, Scotland; Univ Manchester, Dept Earth Sci, Manchester M13 9PL, Lancs, England</t>
  </si>
  <si>
    <t>Scottish Universities Research &amp; Reactor Center; University of Manchester</t>
  </si>
  <si>
    <t>Scottish Univ Res &amp; Reactor Ctr, Isotope Geosci Unit, E Kilbride G75 0QF, Lanark, Scotland.</t>
  </si>
  <si>
    <t>Stuart, Finlay M/E-7417-2010</t>
  </si>
  <si>
    <t>10.1016/S0016-7037(99)00161-1</t>
  </si>
  <si>
    <t>WOS:000082948100012</t>
  </si>
  <si>
    <t>Vovk, VY; Egorova, LV; Moskvin, IV</t>
  </si>
  <si>
    <t>The influence of heliogeophysical factors on variations of atmospheric pressure according to data from inclined and vertical soundings of the ionosphere</t>
  </si>
  <si>
    <t>GEOMAGNETIZM I AERONOMIYA</t>
  </si>
  <si>
    <t>Vovk, VY (corresponding author), Arctic &amp; Antarctic Res Inst, St Petersburg 199226, Russia.</t>
  </si>
  <si>
    <t>0016-7940</t>
  </si>
  <si>
    <t>GEOMAGN AERON+</t>
  </si>
  <si>
    <t>Geomagn. Aeron.</t>
  </si>
  <si>
    <t>SEP-OCT</t>
  </si>
  <si>
    <t>255RY</t>
  </si>
  <si>
    <t>WOS:000083685000017</t>
  </si>
  <si>
    <t>Roberts, D; Roberts, JL; Gibson, JAE; McMinn, A; Heijnis, H</t>
  </si>
  <si>
    <t>Palaeohydrological modelling of Ace Lake, Vestfold Hills, Antarctica</t>
  </si>
  <si>
    <t>HOLOCENE</t>
  </si>
  <si>
    <t>palaeosalinity; palaeohydrology; modelling; 'Little Ice Age'; Vestfold Hills; Antarctica</t>
  </si>
  <si>
    <t>CLIMATE</t>
  </si>
  <si>
    <t>The major influences on the salinity and water level of an Antarctic lake are parameterized and a palaeohydrological model linking the palaeosalinity of an Antarctic lake to the palaeohydrology of the lake is developed. Climatic change in this lake is recorded in the evaporative loss trend reconstructed from water level and lakewater salinity estimates. A decrease in salinity between similar to 700 and 200 years BP corresponds with c. 5 m increase in water level over the same time period. Both water level and lakewater salinity then stabilize in the last similar to 200 years BP. The palaeohydrological model derived from the changes inferred in salinity and water level shows that there is no significant change in evaporation for the last similar to 700 years but that a lower evaporation period is evident at similar to 150-200 years BP suggestive of a mild 'Little Ice Age' event in the Vestfold Hills.</t>
  </si>
  <si>
    <t>Univ Tasmania, Inst Antarctic &amp; So Ocean Studies, Hobart, Tas 7001, Australia; Univ Tasmania, Sch Civil &amp; Mech Engn, Hobart, Tas 7001, Australia; Australian Antarctic Div, Kingston, Tas 7050, Australia; Australian Nucl Sci &amp; Technol Org, Menai, NSW 2234, Australia</t>
  </si>
  <si>
    <t>University of Tasmania; University of Tasmania; Australian Antarctic Division; Australian Nuclear Science &amp; Technology Organisation</t>
  </si>
  <si>
    <t>Roberts, D (corresponding author), Univ Tasmania, Inst Antarctic &amp; So Ocean Studies, GPO Box 252-77, Hobart, Tas 7001, Australia.</t>
  </si>
  <si>
    <t>Heijnis, Hendrik/A-6673-2010; McMinn, Andrew/A-9910-2008; Roberts, Jason L/B-2235-2012</t>
  </si>
  <si>
    <t>Roberts, Jason L/0000-0002-3477-4069; Roberts, Donna/0000-0001-6701-6662; Heijnis, Hendrik/0000-0002-7601-3452</t>
  </si>
  <si>
    <t>ARNOLD, HODDER HEADLINE PLC</t>
  </si>
  <si>
    <t>338 EUSTON ROAD, LONDON NW1 3BH, ENGLAND</t>
  </si>
  <si>
    <t>0959-6836</t>
  </si>
  <si>
    <t>Holocene</t>
  </si>
  <si>
    <t>10.1191/095968399672424476</t>
  </si>
  <si>
    <t>233XZ</t>
  </si>
  <si>
    <t>WOS:000082453600002</t>
  </si>
  <si>
    <t>Cattermole, TJ</t>
  </si>
  <si>
    <t>The epidemiology of skiing injuries in Antarctica</t>
  </si>
  <si>
    <t>INJURY-INTERNATIONAL JOURNAL OF THE CARE OF THE INJURED</t>
  </si>
  <si>
    <t>skiing; antarctic regions; wounds and injuries (epidemiology); wounds and injuries (aetiology); frostbite</t>
  </si>
  <si>
    <t>TRAUMA; CARE; AUSTRALIA; SEVERITY</t>
  </si>
  <si>
    <t>A retrospective analysis of all skiing injuries experienced by members of the British Antarctic Survey between 1989 and 1995 was undertaken to test the hypothesis that skiing was responsible for a disproportionate number and severity of injuries compared with other activities. Fifty-nine new consultations for skiing injuries were recorded. This represented 3.2% of all consultations (annual range 1.3-6.7%), or 9.7% of all consultations due to trauma. The mean incidence was 84.3/1000 population/year. The annual proportion and rate of consultation fluctuated but no overall trends were noted. The lower limb was the commonest site of injury (76.3%), with the ratio of lower limb: upper limb injuries being 6.4:1. The commonest single injury was an isolated medial collateral ligament knee sprain (23.7% of all consultations). Head injuries comprised 8.5% and ulnar collateral ligament thumb sprains 5.1%. Assessment of injury by the Injury Severity Score (ISS) showed that skiing injuries were significantly more likely to be nontrivial (ISS &gt; 2) than work-related injuries [chi (2)(1, N = 56) = 55.6, p &lt; 0.001] or injuries of all causes [chi (2)(1, N = 56) = 65.0, p &lt; 0.001], They were significantly more likely to need radiological investigation than all injuries [chi (2)(1, N = 59) = 22.0, p &lt; 0.001], The most severe (ISS 13), survivable injury seen during the study period resulted from a skiing accident. This excess of nontrivial injury raises important management issues, particularly as the majority (81%) were recreational. (C) 1999 Elsevier Science Ltd. All rights reserved.</t>
  </si>
  <si>
    <t>British Antarctic Survey, Med Unit, RGIT Ltd, Aberdeen AB24 5BJ, Scotland</t>
  </si>
  <si>
    <t>0020-1383</t>
  </si>
  <si>
    <t>INJURY</t>
  </si>
  <si>
    <t>Injury-Int. J. Care Inj.</t>
  </si>
  <si>
    <t>10.1016/S0020-1383(99)00139-4</t>
  </si>
  <si>
    <t>Critical Care Medicine; Emergency Medicine; Orthopedics; Surgery</t>
  </si>
  <si>
    <t>General &amp; Internal Medicine; Emergency Medicine; Orthopedics; Surgery</t>
  </si>
  <si>
    <t>217EU</t>
  </si>
  <si>
    <t>WOS:000081487700007</t>
  </si>
  <si>
    <t>Mesocyclone activity over the North-East Atlantic. Part 1: Vortex distribution and variability</t>
  </si>
  <si>
    <t>polar mesocyclones; satellite climatology; North-East Atlantic</t>
  </si>
  <si>
    <t>POLAR LOWS; MESOSCALE VORTICES; SCALE ENVIRONMENT</t>
  </si>
  <si>
    <t>Polar mesocyclones are subsynoptic-scale low pressure systems that form over high-latitude oceans in a cold air mass. It is known that these systems can be very vigorous but only relatively short time periods have been studied in the past to estimate their characteristics. Here satellite imagery is used to study mesocyclones observed over the North-East Atlantic and Nordic Seas during the 2-year period October 1993-September 1995. An unexpectedly large number (4054) of mesocyclones were found, occurring throughout the year, although winter was the most active season. Most mesocyclones were observed in the northern regions of the study area, near the ice edge, and were small, with 86% of cyclones having diameters of &lt; 400 km. Most mesocyclones form, and decay, within 1 day and travel only short distances. The large-scale circulation plays a role in determining mesocyclone numbers as the two separate 12-month periods in the study exhibited very different characteristics. Copyright (C) 1999 Royal Meteorological Society.</t>
  </si>
  <si>
    <t>1097-0088</t>
  </si>
  <si>
    <t>235LW</t>
  </si>
  <si>
    <t>WOS:000082544000003</t>
  </si>
  <si>
    <t>Hagen, W</t>
  </si>
  <si>
    <t>Reproductive strategies and energetic adaptations of polar zooplankton</t>
  </si>
  <si>
    <t>INVERTEBRATE REPRODUCTION &amp; DEVELOPMENT</t>
  </si>
  <si>
    <t>8th International Congress on Invertebrate Reproduction</t>
  </si>
  <si>
    <t>AUG 10-14, 1998</t>
  </si>
  <si>
    <t>AMSTERDAM, NETHERLANDS</t>
  </si>
  <si>
    <t>Arctic; Antarctic; zooplankton; reproduction; energetics; lipids</t>
  </si>
  <si>
    <t>KRILL EUPHAUSIA-SUPERBA; MARGINAL ICE-ZONE; COPEPOD CALANUS-HYPERBOREUS; LIFE-CYCLE STRATEGIES; EASTERN WEDDELL-SEA; ANTARCTIC KRILL; CALANOIDES-ACUTUS; RHINCALANUS-GIGAS; GREENLAND SEA; POPULATION-STRUCTURE</t>
  </si>
  <si>
    <t>Key factors governing polar ocean ecosystems are low temperatures and a pronounced seasonal variability of ice cover, light regime and primary production. Depending on their ecological niche and trophic position, zooplankton species at high latitudes have developed a variety of reproductive strategies and energetic adaptations to cope with these extreme environmental conditions. Life-cycle strategies of the herbivorous copepods and euphausiids, which make up the major portion of polar zooplankton biomass, include seasonal vertical migration, dormancy (diapause, quiescence) and the accumulation of energy reserves. These lipid stores help to buffer the pulsed seasonal food supply, and they play an important role in fueling reproduction independent of phytoplankton. Only a smaller fraction of the lipid reserves accumulated during spring and summer are usually catabolized for metabolic maintenance during the food-limited dark season. These deposits are retained until the end of winter and allow early egg production and spawning prior to - or coinciding with - the onset of vernal primary production. It enables the new generation to make full use of the short productive season for growth and development to reach viable overwintering stages. The Antarctic krill Euphausia superba is an exception since it uses its depot lipids for metabolic maintenance during the dark season. It therefore relies on external resources (primary production) for reproductive processes, resulting in a later spawning period as compared to the other euphausiids. Another important component of the herbivorous Antarctic zooplankton, the salps, have developed a very different reproductive strategy. They are able to switch from sexual reproduction to asexual budding (metagenesis), which allows extreme multiplication rates under favourable feeding conditions. Due to these successful adaptations, herbivores are able to build up huge stocks, in spite of the short productive period. Omnivorous and carnivorous zooplankton species, e.g., amphipods or chaetognaths, are not much constrained by the seasonality problem, but experience a more constant food supply. They show a tendency towards K strategies with a prolonged reproductive period, reduced egg numbers and increasing parental care. However, they do not exhibit such typical polar adaptations as developed by the herbivorous species.</t>
  </si>
  <si>
    <t>Univ Bremen, D-28334 Bremen, Germany</t>
  </si>
  <si>
    <t>University of Bremen</t>
  </si>
  <si>
    <t>Hagen, W (corresponding author), Univ Bremen, NW2,POB 330 440, D-28334 Bremen, Germany.</t>
  </si>
  <si>
    <t>Hagen, Wilhelm/0000-0002-7462-9931</t>
  </si>
  <si>
    <t>INT SCIENCE SERVICES/BALABAN PUBLISHERS</t>
  </si>
  <si>
    <t>REHOVOT</t>
  </si>
  <si>
    <t>PO BOX 2039, REHOVOT 76120, ISRAEL</t>
  </si>
  <si>
    <t>0168-8170</t>
  </si>
  <si>
    <t>INVERTEBR REPROD DEV</t>
  </si>
  <si>
    <t>Invertebr. Reprod. Dev.</t>
  </si>
  <si>
    <t>10.1080/07924259.1999.9652674</t>
  </si>
  <si>
    <t>Reproductive Biology; Zoology</t>
  </si>
  <si>
    <t>230YW</t>
  </si>
  <si>
    <t>WOS:000082280100004</t>
  </si>
  <si>
    <t>Cuzin-Roudy, J; Albessard, E; Virtue, P; Mayzaud, P</t>
  </si>
  <si>
    <t>The scheduling of spawning with the moult cycle in Northern krill (Crustacea: Euphausiacea):: a strategy for allocating lipids to reproduction</t>
  </si>
  <si>
    <t>Meganyctiphanes norvegica; Northern krill; lipids; reproductive strategies</t>
  </si>
  <si>
    <t>MEGANYCTIPHANES-NORVEGICA; THYSANOESSA-INERMIS; ANTARCTIC KRILL; ATLANTIC KRILL; SUPERBA; ZOOPLANKTON; ACID</t>
  </si>
  <si>
    <t>Euphausiids moult and grow throughout their life, which implies sharing of resources between growth and reproduction for adult krill. In the Northern krill, Meganyctiphanes norvegica (M. Sars), female krill produce eggs cyclically. Spawning moult cycles alternate with vitellogenic moult cycles for lipid yolk accumulation. Histology shows that lipids are associated with the R cells of the digestive gland in both sexes, with the yolk platelets of mature oocytes and with the fat body cell membranes and blood lacunae in reproducing females. Mature female krill can have a total lipid content twice as high as males, mostly due to accumulation in the ovary, the fat body and the haemolymph. In contrast, in males, as well as in non-reproducing females, the highest percentage of lipids is found in the digestive gland and the haemolymph. In Meganyctiphanes norvegica, the most abundant lipid fractions are polar lipids and triglycerides, the latter being relatively low in reproducing female gonad and fat body. Triglycerides are believed to be a pure energy source and polar lipids are essential for membrane development in embryos. The fatty acid content and composition of the triglyceride and polar lipid fractions in females are different from males, related to both reproductive and dietary processes. Higher levels of polyunsaturated fatty acids (PUFA) in the polar lipid fraction were found in reproductive females. During the non-reproductive season, the converse was found, indicating the specific role PUFA and other fatty acids play in growth and egg production. Adaptive processes linked to reproduction were studied comparatively in three populations of the Northern krill - Clyde Sea (W, Scotland), Kattegat (E, Denmark), Ligurian Sea (Mediterranean) - all differing considerably in climatic and trophic conditions. Such adjustments in lipid synthesis and storage are viewed as reproductive strategies developed by the Northern krill in response to different environmental conditions.</t>
  </si>
  <si>
    <t>UPMC, INSU, CNRS, Obwerv Oceanol,LOBEPM, F-06230 Villefranche Sur Mer, France</t>
  </si>
  <si>
    <t>Sorbonne Universite; Centre National de la Recherche Scientifique (CNRS); CNRS - National Institute for Earth Sciences &amp; Astronomy (INSU)</t>
  </si>
  <si>
    <t>Cuzin-Roudy, J (corresponding author), UPMC, INSU, CNRS, Obwerv Oceanol,LOBEPM, BP 28, F-06230 Villefranche Sur Mer, France.</t>
  </si>
  <si>
    <t>cuzin@obs-vlfr.fr</t>
  </si>
  <si>
    <t>Virtue, Patti/0000-0002-9870-1256</t>
  </si>
  <si>
    <t>0792-4259</t>
  </si>
  <si>
    <t>2157-0272</t>
  </si>
  <si>
    <t>10.1080/07924259.1999.9652694</t>
  </si>
  <si>
    <t>WOS:000082280100024</t>
  </si>
  <si>
    <t>Radionov, VF; Rusina, EN; Lamakin, MV; Leiterer, U; Shalamyanskii, AM</t>
  </si>
  <si>
    <t>Experimental studies of aerosol optical thickness and ozone in large-city environs</t>
  </si>
  <si>
    <t>In the period of June-September 1997, combined simultaneous measurements of aerosol and optical atmospheric parameters, total ozone content (TOC), and ultraviolet radiation fluxes were performed in the vicinity of a large city both to make improvement in the procedures of combined monitoring and to study the main characteristics of variability and relationship of these parameters. The measured data on the spectral aerosol optical thickness, atmospheric integral transparency, TOC, and UV-B radiation fluxes are given. For interpretation of the data obtained, detailed information on the development of atmospheric synoptic processes and on the fires that were spreading over the Leningrad region was used.</t>
  </si>
  <si>
    <t>Arctic &amp; Antarctic Res Inst, St Petersburg 199397, Russia; Geophys Observ, Lindenberg, Germany; Res Ctr Atmospher Remote Sensing, Voeikov Main Observ Branch, St Petersburg 194021, Russia</t>
  </si>
  <si>
    <t>Radionov, VF (corresponding author), Arctic &amp; Antarctic Res Inst, Ul Beringa 38, St Petersburg 199397, Russia.</t>
  </si>
  <si>
    <t>Radionov, Vladimir F./O-3038-2017</t>
  </si>
  <si>
    <t>257KW</t>
  </si>
  <si>
    <t>WOS:000083781900004</t>
  </si>
  <si>
    <t>Bertram, V; Vasil'eva, VV; Korostelev, VG; Pisarevskaya, LG; Shishkina, OD</t>
  </si>
  <si>
    <t>Field of internal waves generated by an iceberg in a pycnocline</t>
  </si>
  <si>
    <t>ICE</t>
  </si>
  <si>
    <t>The paper presents data of theoretical and experimental (on-site and laboratory) studies of the effect of sea-water density inhomogeneity on the hydrodynamics of drifting icebergs. On the basis of previously obtained theoretical relationships, the coefficients of wave resistance are calculated for a body of varying submergence depth that crosses the free surface and the interface between fluids of different density at relatively small velocities characteristic for the natural conditions of iceberg drift. The modal structure and amplitude-phase parameters of internal waves generated by a vertical cylinder crossing the free surface and the surface pycnocline are studied as functions of the cylinder's velocity and submergence depth relative to a density jump.</t>
  </si>
  <si>
    <t>Tech Univ Hamburg Harburg, D-22305 Hamburg, Germany; St Petersburg State Marine Tech Univ, St Petersburg 190008, Russia; Arctic &amp; Antarctic Res Inst, St Petersburg 199397, Russia; Russian Acad Sci, Inst Appl Phys, Nizhnii Novgorod 603600, Russia</t>
  </si>
  <si>
    <t>Hamburg University of Technology; State Marine Technical University; Arctic &amp; Antarctic Research Institute; Russian Academy of Sciences; Institute of Applied Physics of the Russian Academy of Sciences</t>
  </si>
  <si>
    <t>Bertram, V (corresponding author), Tech Univ Hamburg Harburg, D-22305 Hamburg, Germany.</t>
  </si>
  <si>
    <t>Shishkina, Olga/0000-0002-7953-3605</t>
  </si>
  <si>
    <t>WOS:000083781900015</t>
  </si>
  <si>
    <t>Sukhorukov, KK</t>
  </si>
  <si>
    <t>Mesoscale rheological properties of the sea ice sheet</t>
  </si>
  <si>
    <t>MODEL</t>
  </si>
  <si>
    <t>The results of combined experimental studies of the dynamic state of sea ice are presented. Empirical relations between the effective stresses and the mesoscale kinematic parameters of the ice sheet are first revealed. A macroscopic rheological relation based on the nonlinear model of the Maxwell body is proposed. Estimates are obtained for the limiting stressed and strained state of sea ice and its effective physical and mechanical parameters.</t>
  </si>
  <si>
    <t>Arctic &amp; Antarctic Res Inst, St Petersburg 199397, Russia</t>
  </si>
  <si>
    <t>Sukhorukov, KK (corresponding author), Arctic &amp; Antarctic Res Inst, Ul Beringa 38, St Petersburg 199397, Russia.</t>
  </si>
  <si>
    <t>WOS:000083781900016</t>
  </si>
  <si>
    <t>Barbante, C; Cozzi, G; Capodaglio, G; van de Velde, K; Ferrari, C; Boutron, C; Cescon, P</t>
  </si>
  <si>
    <t>Trace element determination in alpine snow and ice by double focusing inductively coupled plasma mass spectrometry with microconcentric nebulization</t>
  </si>
  <si>
    <t>JOURNAL OF ANALYTICAL ATOMIC SPECTROMETRY</t>
  </si>
  <si>
    <t>European Winter Conference on Plasma Spectrochemistry</t>
  </si>
  <si>
    <t>JAN 10-15, 1999</t>
  </si>
  <si>
    <t>PAU, FRANCE</t>
  </si>
  <si>
    <t>HEAVY-METAL ANALYSIS; ANTARCTIC SNOW</t>
  </si>
  <si>
    <t>Double focusing inductively coupled plasma mass spectrometry (ICP-MS) has been applied to the direct, simultaneous determination of Ti, V, Cr, Mn, Fe, Co, Cu, Zn, Mo, Ag, Cd, Sb, Ba, Au, Pb, Bi and U in recent Alpine snow and old ice at the ng g(-1) and pg g(-1) level. Small amounts of sample (about 1 ml) were analysed using a microconcentric nebulizer. To avoid possible spectral interferences, measurements were carried out both in medium (m/Delta m approximate to 3400) and low (m/Delta m approximate to 300) resolution modes. Clean procedures were adopted both in the field and in the laboratory in order to reduce the possibility of sample contamination to a minimum. Concentration ranges of Alpine surface snow were (in pg g(-1)): Ti (8-106x10(3)), V (3-4601), Cr (3-2985), Mn (1-173x10(3)), Fe (67-1058x10(3)), Co (2-973), Cu (8-29.1x10(3)), Zn (2-6311), Mo (11-721), Ag (0.5-107), Cd (16-218), Sb (1.7-6173), Ba (9-36.5x10(3)), Pb (23-33.7x10(3)), Bi (0.1-116) and U (0.1-265). Much lower concentrations were detected in high altitude sites in the Alps. Measurement repeatability, in terms of RSD, ranged between 9 and 34%, depending on the element. The reliability of the analytical method was confirmed by analysis of a certified reference material (SLRS-3, riverine water) and by determination of Cd, Pb, Cu and Zn by ETAAS. For some of the elements investigated these results constitute the first available for recent Alpine snow and old ice.</t>
  </si>
  <si>
    <t>Univ Venice, Dipartimento Sci Ambientali, I-30123 Venice, Italy; CNR, Ctr Studio Chim &amp; Tecnol Ambiente, I-30123 Venice, Italy; CNRS, Lab Glaciol &amp; Geophys Environm, F-38402 St Martin Dheres, France; Univ Grenoble 1, Inst Sci &amp; Tech Grenoble, F-38041 Grenoble, France; Univ Grenoble 1, Unites Format &amp; Rech Mecan, Inst Univ France, F-38041 Grenoble, France</t>
  </si>
  <si>
    <t>Universita Ca Foscari Venezia; Consiglio Nazionale delle Ricerche (CNR); Centre National de la Recherche Scientifique (CNRS); Communaute Universite Grenoble Alpes; Universite Grenoble Alpes (UGA); Institut Universitaire de France; Communaute Universite Grenoble Alpes; Universite Grenoble Alpes (UGA)</t>
  </si>
  <si>
    <t>Barbante, C (corresponding author), Univ Venice, Dipartimento Sci Ambientali, Dorsoduro 2137, I-30123 Venice, Italy.</t>
  </si>
  <si>
    <t>Barbante, Carlo/B-3195-2011; Cozzi, Giulio/F-6473-2010; Capodaglio, Gabriele/D-5295-2014; Cozzi, Giulio/G-9037-2012</t>
  </si>
  <si>
    <t>Capodaglio, Gabriele/0000-0002-3689-4865; Cescon, Paolo/0000-0003-1836-6759; Cozzi, Giulio/0000-0001-8796-4176; Barbante, Carlo/0000-0003-4177-2288</t>
  </si>
  <si>
    <t>THOMAS GRAHAM HOUSE, SCIENCE PARK, MILTON RD,, CAMBRIDGE CB4 0WF, CAMBS, ENGLAND</t>
  </si>
  <si>
    <t>0267-9477</t>
  </si>
  <si>
    <t>J ANAL ATOM SPECTROM</t>
  </si>
  <si>
    <t>J. Anal. At. Spectrom.</t>
  </si>
  <si>
    <t>10.1039/a901949i</t>
  </si>
  <si>
    <t>Chemistry, Analytical; Spectroscopy</t>
  </si>
  <si>
    <t>Chemistry; Spectroscopy</t>
  </si>
  <si>
    <t>244YG</t>
  </si>
  <si>
    <t>WOS:000083077900022</t>
  </si>
  <si>
    <t>Valles Mota, JP; Encinar, JR; de la Campa, MRF; Alonso, JIG; Sanz-Medel, A</t>
  </si>
  <si>
    <t>Determination of cadmium in environmental and biological reference materials using isotope dilution analysis with a double focusing ICP-MS: a comparison with quadrupole ICP-MS</t>
  </si>
  <si>
    <t>PLASMA-MASS-SPECTROMETRY; CANDIDATE REFERENCE MATERIAL; RATIO MEASUREMENTS; ANTARCTIC SEDIMENT; TRACE-METALS; LEAD; SAMPLES; COPPER; ELEMENTS; PRECONCENTRATION</t>
  </si>
  <si>
    <t>A detailed examination of the performance of a double focusing (DF) sector field ICP-MS (Element, Finnigan MAT) for the ID-ICP-MS determination of cadmium in biological and environmental samples is described and compared with a quadrupole-based instrument (HP4500, Hewlett Packard). Experimental parameters governing the instrumental precision and accuracy for isotope ratio measurements of cadmium in the DF-ICP-MS are first characterized. Systematic errors, including dead time, mass bias effects and spectroscopic interferences, can be easily corrected in the two instruments studied. Detector dead time has only to be taken into account using the DF-ICP-MS. Typical isotope ratio precisions of 0.2-0.3% can be obtained routinely with both instruments. However, the precision of the measurements in the DF-ICP-MS can be improved (&lt; 0.1%) by increasing the number of scans. Moreover, for very low cadmium concentrations the DF-ICP-MS at low resolution setting (R=300) can provide better isotope ratio precision than the quadrupole ICP-MS because of its higher sensitivity. Both ICP-MS instruments were successfully applied to the determination of very low levels of cadmium by ID-ICP-MS (by both conventional and on-line ID modes) in biological and environmental certified reference materials, including Freeze-Dried Urine NIST SRM-2670, Horse Kidney IAEA H-8, Lichens BCR TP-25, Marine Sediment PACS-1 and Riverine Water SLRS-3. Combined uncertainty associated with the determinations is addressed.</t>
  </si>
  <si>
    <t>Univ Oviedo, Dept Phys &amp; Analyt Chem, E-33006 Oviedo, Spain</t>
  </si>
  <si>
    <t>University of Oviedo</t>
  </si>
  <si>
    <t>Alonso, JIG (corresponding author), Univ Oviedo, Dept Phys &amp; Analyt Chem, E-33006 Oviedo, Spain.</t>
  </si>
  <si>
    <t>Garcia Alonso, Jose Ignacio/H-6795-2015</t>
  </si>
  <si>
    <t>Garcia Alonso, Jose Ignacio/0000-0002-8356-3866; /0000-0003-2899-1347; Ruiz Encinar, Jorge/0000-0001-6245-5770</t>
  </si>
  <si>
    <t>WOS:000083077900028</t>
  </si>
  <si>
    <t>Clarke, A; Johnston, NM</t>
  </si>
  <si>
    <t>Scaling of metabolic rate with body mass and temperature in teleost fish</t>
  </si>
  <si>
    <t>body mass; fish; metabolic cold adaptation; respiration; scaling; temperature</t>
  </si>
  <si>
    <t>COLD ADAPTATION; ANTARCTIC FISHES; RESPIRATION; BIOLOGY; MUSCLE; SIZE</t>
  </si>
  <si>
    <t>1. We examined published studies relating resting oxygen consumption to body mass and temperature in post-larval teleost fish. The resulting database comprised 138 studies of 69 species (representing 28 families and 12 orders) living over a temperature range of c. 40 degrees C. 2. Resting metabolic rate (R-b; mmol oxygen gas h(-1)) was related to body mass (M; wet mass, g) by R-b = aM(b), where a is a constant and b the scaling exponent. The model was fitted by least squares linear regression after logarithmic transformation of both variables. The mean value of scaling exponent, b, for the 69 individual species was 0.79 (SE 0.11). The general equation for all teleost fish was 1nR(b) = 0.80(1nM)- 5.43. 3. The relationship between resting oxygen consumption and environmental temperature for a 50-g fish was curvilinear. A typical tropical fish at 30 degrees C requires approximately six times as much oxygen for resting metabolism as does a polar fish at 0 degrees C. This relationship could be fitted by several statistical models, of which the Arrhenius model is probably the most appropriate. The Arrhenius model for the resting metabolism of 69 species of teleost fish, corrected to a standard body mass of 50 g, was 1nR(b) = 15.7-5.02.T-1, where T is absolute temperature (10(3) x K). 4. The Arrhenius model fitted to all 69 species exhibited a lower thermal sensitivity of resting metabolism (mean Q(10) = 1.83 over the range 0-30 degrees C) than typical within-species acclimation studies (median Q(10) = 2.40, n = 14). This suggests that evolutionary adaptation has reduced the overall thermal sensitivity of resting metabolism across species. Analysis of covariance indicated that the relationships between resting metabolic rate and temperature for various taxa (orders) showed similar slopes but significantly different mean rates. 5. Analysis of the data for perciform fish provided no support for metabolic cold adaptation (the hypothesis that polar fish show a resting metabolic rate higher than predicted from the overall rate/temperature relationship established for temperate and tropical species). 6. Taxonomic variation in mean resting metabolic rate showed no relationship to phylogeny, although the robustness of this conclusion is constrained by our limited knowledge of fish evolutionary history.</t>
  </si>
  <si>
    <t>British Antarctic Survey, Merine Life Sci Div, Cambridge CB3 0ET, England</t>
  </si>
  <si>
    <t>British Antarctic Survey, Merine Life Sci Div, High Cross,Madingley Rd, Cambridge CB3 0ET, England.</t>
  </si>
  <si>
    <t>andrew.clarke@bas.ac.uk</t>
  </si>
  <si>
    <t>Johnston, Nadine M/0000-0003-2211-1492</t>
  </si>
  <si>
    <t>WILEY-BLACKWELL</t>
  </si>
  <si>
    <t>10.1046/j.1365-2656.1999.00337.x</t>
  </si>
  <si>
    <t>239MB</t>
  </si>
  <si>
    <t>WOS:000082771000005</t>
  </si>
  <si>
    <t>Bradner, JR; Sidhu, RK; Gillings, M; Nevalainen, KMH</t>
  </si>
  <si>
    <t>Hemicellulase activity of antarctic microfungi</t>
  </si>
  <si>
    <t>JOURNAL OF APPLIED MICROBIOLOGY</t>
  </si>
  <si>
    <t>The mannanase (endo-beta-1,4-mannanase; E.C. 3.2.1.78) and xylanase (endo-beta-1-4-xylanase; E.C. 3.2.1.8) activity of fire microfungal isolates from Antarctica were characterized at different temperatures and pH. In general, the hemicellulase activity of the antarctic strains occurred at least 10 degrees C and as much as 30 degrees C lon er than that of a mesophilic reference strain. At 0 degrees C, two strains, a Phoma and a Penicillium, produced in excess of 40% of their measured maximum activity of mannanase, All strains had maximum hemicellulase activity in the range pH 4-5, with Penicillium, Phoma and Alternaria strains exhibiting high (in excess of 80% of maximum) mannanase activity at pH 10, Three of the antarctic isolates exhibited high levels of xylanase activity over a pH range of 3-11.</t>
  </si>
  <si>
    <t>Macquarie Univ, Sch Biol Sci, Key Ctr Biodivers &amp; Bioresources, Sydney, NSW 2109, Australia</t>
  </si>
  <si>
    <t>Nevalainen, KMH (corresponding author), Macquarie Univ, Sch Biol Sci, Key Ctr Biodivers &amp; Bioresources, Sydney, NSW 2109, Australia.</t>
  </si>
  <si>
    <t>Gillings, Michael R/C-6553-2008</t>
  </si>
  <si>
    <t>Gillings, Michael R/0000-0002-4043-4351; Nevalainen, Helena/0000-0003-0083-4630</t>
  </si>
  <si>
    <t>1364-5072</t>
  </si>
  <si>
    <t>J APPL MICROBIOL</t>
  </si>
  <si>
    <t>J. Appl. Microbiol.</t>
  </si>
  <si>
    <t>10.1046/j.1365-2672.1999.00827.x</t>
  </si>
  <si>
    <t>244WC</t>
  </si>
  <si>
    <t>WOS:000083072900007</t>
  </si>
  <si>
    <t>Greet, PA; Conde, MG; Dyson, PL; Innis, JL; Breed, AM; Murphy, DJ</t>
  </si>
  <si>
    <t>Thermospheric wind field over Mawson and Davis, Antarctica;: simultaneous observations by two Fabry-Perot spectrometers of λ630 nm emission</t>
  </si>
  <si>
    <t>JOURNAL OF ATMOSPHERIC AND SOLAR-TERRESTRIAL PHYSICS</t>
  </si>
  <si>
    <t>GENERAL-CIRCULATION MODEL; OVAL/POLAR CAP BOUNDARY; POLAR-CAP; VERTICAL WINDS; NEUTRAL WINDS; SOLAR MINIMUM; DYNAMICS; ELECTRODYNAMICS</t>
  </si>
  <si>
    <t>The thermopheric oxygen lambda 630 nm emission has been observed using high-resolution Fabry-Perot spectrometers at Mawson (67.6 degrees S, 62.9 degrees E) and Davis (68.6 degrees S, 78.0 degrees E), Antarctica. A new technique, combining the results from the two instruments, is used to derive vector wind fields. The technique is described and applied to five nights of simultaneous cardinal point data obtained in 1997. Solar flux was low during this interval, typically F-10.7 = 75. Of the five nights two were magnetically disturbed and three were quiet. The observations for the disturbed nights were compared to a TIEGCM model run and reasonable agreement was found in the first half of the night. On one of the disturbed nights a closed evening circulation cell and cross-polar jet could be identified in our data. On none of the nights was a morning circulation cell evident. Auroral imager data were used to locate the auroral oval. For several hours around magnetic midnight the auroral oval produces doldrums in the thermospheric winds that are not described by the model. Auroral doldrums are also seen on the quiet nights which otherwise maintain a flow approximately consistent with a pressure-gradient driver. (C) 1999 Elsevier Science Ltd. All rights reserved.</t>
  </si>
  <si>
    <t>Australian Antarctic Div, Kingston, Tas 7050, Australia; Univ Alaska, Inst Geophys, Fairbanks, AK USA; La Trobe Univ, Dept Phys, Bundoora, Vic 3083, Australia</t>
  </si>
  <si>
    <t>Australian Antarctic Division; University of Alaska System; University of Alaska Fairbanks; La Trobe University</t>
  </si>
  <si>
    <t>Greet, PA (corresponding author), Australian Antarctic Div, Channel Highway, Kingston, Tas 7050, Australia.</t>
  </si>
  <si>
    <t>1364-6826</t>
  </si>
  <si>
    <t>J ATMOS SOL-TERR PHY</t>
  </si>
  <si>
    <t>J. Atmos. Sol.-Terr. Phys.</t>
  </si>
  <si>
    <t>10.1016/S1364-6826(99)00059-0</t>
  </si>
  <si>
    <t>Geochemistry &amp; Geophysics; Meteorology &amp; Atmospheric Sciences</t>
  </si>
  <si>
    <t>270CY</t>
  </si>
  <si>
    <t>WOS:000084518900002</t>
  </si>
  <si>
    <t>Innis, JL; Greet, PA; Murphy, DJ; Conde, MG; Dyson, PL</t>
  </si>
  <si>
    <t>A large vertical wind in the thermosphere at the auroral oval/polar cap boundary seen simultaneously from Mawson and Davis, Antarctica</t>
  </si>
  <si>
    <t>GRAVITY-WAVES; DYNAMICS</t>
  </si>
  <si>
    <t>Ground-based Fabry-Perot spectrometer observations from the Australian Antarctic stations of Davis and Mawson show an upward wind greater than or equal to 100 m s(-1) in the thermosphere at similar to 240 km altitude on the night of Day of Year 159 in 1997. The wind was from a region located poleward of the poleward edge of the discrete auroral oval, and is identified as a further event of the type seen at Mawson, and elsewhere, in earlier work. The upward wind was first seen over Davis station at similar to 22:00 UT. As the auroral oval moved northward the region of upward wind followed, and was seen at Mawson (some 4 degrees magnetically north of Davis) just over 1 h later. It is shown that the presence of the large upward wind does, at times, affect the horizontal wind inferred from the off-zenith observations. Correcting the affected measurements for the non-zero upward wind leads to a horizontal wind field more consistent with that derived from observations before and after the vertical wind event. A lower limit of the area of the region of upward wind over Mawson and Davis on this night is estimated as similar to 6 x 10(11) m(2). The estimated power required to drive the upward wind over this area at 240 km altitude is of order 6 x 10(9) W. We estimate that this represents between 3 and 7% of the geomagnetic power input in the southern hemisphere during this interval. (C) 1999 Elsevier Science Ltd. All rights reserved.</t>
  </si>
  <si>
    <t>Australian Antarctic Div, Kingston, Tas 7050, Australia; Univ Alaska, Inst Geophys, Fairbanks, AK 99775 USA; La Trobe Univ, Dept Phys, Bundoora, Vic 3083, Australia</t>
  </si>
  <si>
    <t>10.1016/S1364-6826(99)00060-7</t>
  </si>
  <si>
    <t>WOS:000084518900003</t>
  </si>
  <si>
    <t>Van de Vijver, B; Beyens, L</t>
  </si>
  <si>
    <t>Biogeography and ecology of freshwater diatoms in Subantarctica: a review</t>
  </si>
  <si>
    <t>diatoms; Subantarctica; biogeography; freshwater</t>
  </si>
  <si>
    <t>MARITIME ANTARCTIC LAKES; STROMNESS BAY AREA; SOUTH GEORGIA; KERGUELEN-ISLANDS; SEDIMENTS; COMMUNITIES; FLORA; DIVERSITY</t>
  </si>
  <si>
    <t>Subantarctica is situated between the Antarctic and the Subtropical Convergence and consists of the islands in the southern Atlantic, Indian and Pacific Oceans. Diatoms are an important component of all Subantarctic aquatic, moss and soil habitats. Taxonomic studies reveal a high diversity and species richness in both the present-day and the fossil diatom flora. Planktonic diatoms are almost completely absent. A similarity analysis of the diatom composition from different localities in the southern zone (below 40 degrees S) resulted in a biogeographical zonation, Three regions could be formed, based on their diatom composition: Subantarctica, Maritime Antarctica and the Antarctic Continent. The diatom communities in the different regions are all characterized by a high proportion of cosmopolitan species. A second feature of the southern diatom floras is the decreasing diversity when moving southwards.</t>
  </si>
  <si>
    <t>Univ Antwerp, Dept Biol Polar Ecol, Limnol &amp; Palaeobiol Unit, B-2020 Antwerp, Belgium</t>
  </si>
  <si>
    <t>University of Antwerp</t>
  </si>
  <si>
    <t>Univ Antwerp, Dept Biol Polar Ecol, Limnol &amp; Palaeobiol Unit, Groenenborgerlaan 171, B-2020 Antwerp, Belgium.</t>
  </si>
  <si>
    <t>bartvdv@ruca.uu.ac.be</t>
  </si>
  <si>
    <t>1365-2699</t>
  </si>
  <si>
    <t>10.1046/j.1365-2699.1999.00358.x</t>
  </si>
  <si>
    <t>278KB</t>
  </si>
  <si>
    <t>WOS:000084988000006</t>
  </si>
  <si>
    <t>Wilson, RS; Franklin, CE</t>
  </si>
  <si>
    <t>Thermal acclimation of locomotor performance in tadpoles of the frog Limnodynastes peronii</t>
  </si>
  <si>
    <t>JOURNAL OF COMPARATIVE PHYSIOLOGY B-BIOCHEMICAL SYSTEMIC AND ENVIRONMENTAL PHYSIOLOGY</t>
  </si>
  <si>
    <t>locomotion; temperature; anuran; swimming; kinematics</t>
  </si>
  <si>
    <t>FISH MYOXOCEPHALUS-SCORPIUS; MUSCLE CONTRACTILE PROPERTIES; BURST SWIMMING PERFORMANCE; CARP CYPRINUS-CARPIO; TEMPERATURE-ACCLIMATION; ESCAPE PERFORMANCE; ANTARCTIC FISH; POWER OUTPUT; RANA-PIPIENS; PLASTICITY</t>
  </si>
  <si>
    <t>Previous analyses of thermal acclimation of locomotor performance in amphibians have only examined the adult life history stage and indicate that the locomotor system is unable to undergo acclimatory changes to temperature. In this study, we examined the ability of tadpoles of the striped marsh frog (Limnodynastes peronii) to acclimate their locomotor system by exposing them to either 10 degrees C or 24 degrees C for 6 weeks and testing their burst swimming performance at 10, 24, and 34 degrees C. At the test temperature of 10 degrees C, maximum velocity (U-max) of the 10 degrees C-acclimated tadpoles was 47% greater and maximum acceleration (A(max)) 53% greater than the 24 degrees C-acclimated animals. At 24 degrees C, U-max was 16% greater in the 10 degrees C-acclimation group, while there was no significant difference in A(max) or the time taken to reach U-max (T-U-max). At 34 degrees C, there was no difference between the acclimation groups in either U-max or A(max), however T-U-max was 36% faster in the 24 degrees C-acclimation group. This is the first study to report an amphibian (larva or adult) possessing the capacity to compensate for cool temperatures by thermal acclimation of locomotor performance. To determine whether acclimation period affected the magnitude of the acclimatory response, we also acclimated tadpoles of L. peronii to 10 degrees C for 8 months and compared their swimming performance with tadpoles acclimated to 10 degrees C for 6 weeks. At the test temperatures of 24 degrees C and 34 degrees C, U-max and A(max) were significantly slower in the tadpoles acclimated to 10 degrees C for 8 months. At 10 degrees C, T-U-max was 40% faster in the 8-month group, while there were no differences in either U-max or A(max). Although locomotor performance was enhanced at 10 degrees C by a longer acclimation period, this was at the expense of performance at higher temperatures.</t>
  </si>
  <si>
    <t>Univ Queensland, Dept Zool, Brisbane, Qld 4072, Australia</t>
  </si>
  <si>
    <t>University of Queensland</t>
  </si>
  <si>
    <t>Wilson, RS (corresponding author), Univ Queensland, Dept Zool, Brisbane, Qld 4072, Australia.</t>
  </si>
  <si>
    <t>Wilson, Robbie S/F-1463-2011; Franklin, Craig/G-7343-2012</t>
  </si>
  <si>
    <t>Wilson, Robbie/0000-0002-0116-5427; Franklin, Craig/0000-0003-1315-3797</t>
  </si>
  <si>
    <t>0174-1578</t>
  </si>
  <si>
    <t>J COMP PHYSIOL B</t>
  </si>
  <si>
    <t>J. Comp. Physiol. B-Biochem. Syst. Environ. Physiol.</t>
  </si>
  <si>
    <t>10.1007/s003600050241</t>
  </si>
  <si>
    <t>Physiology; Zoology</t>
  </si>
  <si>
    <t>245CW</t>
  </si>
  <si>
    <t>WOS:000083089500010</t>
  </si>
  <si>
    <t>Sundin, L; Axelsson, M; Davison, W; Forster, ME</t>
  </si>
  <si>
    <t>Cardiovascular responses to adenosine in the Antarctic fish Pagothenia borchgrevinki</t>
  </si>
  <si>
    <t>JOURNAL OF EXPERIMENTAL BIOLOGY</t>
  </si>
  <si>
    <t>teleost; Pagothenia borchgrevinki; purinergic; circulation; gill; heart; blood pressure; receptor</t>
  </si>
  <si>
    <t>RAINBOW-TROUT; PURINERGIC MODULATION; RECEPTORS; VASOCONSTRICTION; MICROCIRCULATION; PURINOCEPTORS; STIMULATION; DOGFISH; DRUGS; HEART</t>
  </si>
  <si>
    <t>We have investigated the effects of adenosine on the cardiovascular system of the Antarctic fish Pagothenia borchgrevinki. Continuous measurements of ventral and dorsal aortic blood pressures, heart rate (f(H)) and ventral aortic blood flow (cardiac output, (Q)over dot) were made using standard cannulation techniques and a single-crystal Doppler flowmeter, On line measurements of arterial P-O2 were made using an oxygen electrode connected to an extracorporeal loop. Adenosine (10 nmol kg(-1)) and the specific A(1)-receptor agonist N-6-cyclopentyadenosine (CPA) elicited biphasic changes in the branchial and systemic resistances. While there was an initial decrease in the branchial resistance followed by an increase, the opposite was true for the systemic response. The resistance changes were significantly attenuated by aminophylline (a P-1-receptor antagonist) and 8-cyclopentyltheophylline (CPT; an A(1)-receptor antagonist). In addition, adenosine induced an aminophylline-sensitive decrease in the arterial P-O2. The reduction was attenuated when pre-injection arterial P-O2 was low. Adenosine and CPA also caused a marked reduction in f(H), with CPA being more potent. The bradycardia was blocked by aminophylline and CPT, demonstrating an involvement of A(1) receptors in this response.</t>
  </si>
  <si>
    <t>Univ Gothenburg, Dept Zoophysiol, S-40530 Gothenburg, Sweden; Univ Canterbury, Dept Zool, Christchurch 1, New Zealand</t>
  </si>
  <si>
    <t>University of Gothenburg; University of Canterbury</t>
  </si>
  <si>
    <t>Axelsson, M (corresponding author), Univ Gothenburg, Dept Zoophysiol, Box 463, S-40530 Gothenburg, Sweden.</t>
  </si>
  <si>
    <t>Axelsson, Michael/D-1412-2009</t>
  </si>
  <si>
    <t>COMPANY OF BIOLOGISTS LTD</t>
  </si>
  <si>
    <t>BIDDER BUILDING CAMBRIDGE COMMERCIAL PARK COWLEY RD, CAMBRIDGE CB4 4DL, CAMBS, ENGLAND</t>
  </si>
  <si>
    <t>0022-0949</t>
  </si>
  <si>
    <t>J EXP BIOL</t>
  </si>
  <si>
    <t>J. Exp. Biol.</t>
  </si>
  <si>
    <t>Biology</t>
  </si>
  <si>
    <t>Life Sciences &amp; Biomedicine - Other Topics</t>
  </si>
  <si>
    <t>236TQ</t>
  </si>
  <si>
    <t>WOS:000082615100003</t>
  </si>
  <si>
    <t>Clilverd, MA; Yeo, RF; Nunn, D; Smith, AJ</t>
  </si>
  <si>
    <t>Latitudinally dependent Trimpi effects: Modeling and observations</t>
  </si>
  <si>
    <t>SUBIONOSPHERIC VLF PROPAGATION; LOCALIZED IONOSPHERIC PERTURBATIONS; INDUCED ELECTRON-PRECIPITATION; DISTURBANCES</t>
  </si>
  <si>
    <t>Modeling studies show that the exclusion of the propagating VLF wave from the ionospheric region results in the decline of Trimpi magnitude with patch altitude. In large models such as Long Wave Propagation Capability (LWPC) this exclusion does not occur inherently in the code, and high-altitude precipitation modeling can produce results that art: not consistent with observations from ground-based experiments. The introduction to LWPC of realistic wave attenuation of the height gain functions in the ionosphere solves these computational problems. This work presents the first modeling of (Born) Trimpi scattering at long ranges, taking into account global inhomogeneities and continuous mode conversion along all paths, by employing the full conductivity perturbation matrix. The application of the more realistic height gain functions allows the prediction of decreasing Trimpi activity with increasing latitude, primarily through the mechanism of excluding the VLF wave from regions of high conductivity and scattering efficiency. Ground-based observations from Faraday and Rothera, Antarctica, in September and October 1995 of Trimpi occurring on the NPM (Hawaii) path provide data that art: consistent with these predictions. Latitudinal variations in Trimpi occurrence near L = 2.5, with a significant decrease of about 70% occurrence between L = 2.4 and L = 2.8, have been observed at higher L shell resolution than in previous studies (i.e,, 2 &lt; L &lt; 3).</t>
  </si>
  <si>
    <t>British Antarctic Survey, NERC, Cambridge CB3 0ET, England; Univ Southampton, Southampton SO17 1BJ, Hants, England</t>
  </si>
  <si>
    <t>UK Research &amp; Innovation (UKRI); Natural Environment Research Council (NERC); NERC British Antarctic Survey; University of Southampton</t>
  </si>
  <si>
    <t>Clilverd, MA (corresponding author), British Antarctic Survey, NERC, Madingley Rd, Cambridge CB3 0ET, England.</t>
  </si>
  <si>
    <t>m.clilverd@bas.ac.uk</t>
  </si>
  <si>
    <t>SEP 1</t>
  </si>
  <si>
    <t>A9</t>
  </si>
  <si>
    <t>10.1029/1999JA900108</t>
  </si>
  <si>
    <t>232FK</t>
  </si>
  <si>
    <t>WOS:000082360100013</t>
  </si>
  <si>
    <t>Menk, FW; Orr, D; Clilverd, MA; Smith, AJ; Waters, CL; Milling, DK; Fraser, BJ</t>
  </si>
  <si>
    <t>Monitoring spatial and temporal variations in the dayside plasmasphere using geomagnetic field line resonances</t>
  </si>
  <si>
    <t>ULF PULSATION EIGENPERIODS; GRADIENT MEASUREMENTS; MERIDIONAL STRUCTURE; ELECTRON-DENSITY; LOW LATITUDES; GROUP DELAYS; SOLAR-CYCLE; WHISTLER; MAGNETOSPHERE; WAVES</t>
  </si>
  <si>
    <t>fIt is well known that the resonant frequency of geomagnetic field lines is determined by the magnetic field and plasma density. We used cross-phase and related methods to determine the field line resonance frequency across 2.4 less than or equal to</t>
  </si>
  <si>
    <t>Univ Newcastle, Dept Phys, Callaghan, NSW 2308, Australia; Univ York, Dept Phys, York YO1 5DD, N Yorkshire, England; British Antarctic Survey, Cambridge CB3 0ET, England; Cooperat Res Ctr Satellite Syst, Canberra, ACT, Australia; Univ York, Dept Phys, Heslington, England</t>
  </si>
  <si>
    <t>University of Newcastle; University of York - UK; UK Research &amp; Innovation (UKRI); Natural Environment Research Council (NERC); NERC British Antarctic Survey; University of York - UK</t>
  </si>
  <si>
    <t>Univ Newcastle, Dept Phys, Univ Dr, Callaghan, NSW 2308, Australia.</t>
  </si>
  <si>
    <t>physpuls3@cc.newcastle.edu.au</t>
  </si>
  <si>
    <t>Waters, Colin L/B-3086-2011; Menk, Frederick/A-2640-2009</t>
  </si>
  <si>
    <t>Waters, Colin L/0000-0003-2121-6962; Menk, Frederick/0000-0002-1154-6223</t>
  </si>
  <si>
    <t>10.1029/1999JA900205</t>
  </si>
  <si>
    <t>WOS:000082360100021</t>
  </si>
  <si>
    <t>Biastoch, A; Krauss, W</t>
  </si>
  <si>
    <t>The role of mesoscale eddies in the source regions of the Agulhas Current</t>
  </si>
  <si>
    <t>RESOLUTION ANTARCTIC MODEL; GLOBAL OCEAN CIRCULATION; SOUTH EQUATORIAL CURRENT; INDIAN-OCEAN; MOZAMBIQUE CHANNEL; ATLANTIC-OCEAN; INDONESIAN THROUGHFLOW; CURRENT SYSTEM; WORLD OCEAN; VARIABILITY</t>
  </si>
  <si>
    <t>A primitive equation model to study the dynamics of the Agulhas system has been developed. The model domain covers the South Atlantic and the south Indian Ocean with a resolution of 1/3 degrees in the Agulhas region while coarser outside. It is driven by a climatology of the European Centre for Medium-Range Weather Forecasts. It is shown that the model simulates the Agulhas Current, its retroflection, and the ring shedding successfully. The model results show baroclinic anticyclonic eddies in the Mozambique Channel and east of Madagascar, which travel toward the northern Agulhas Current. After the eddies reach the current they are advected southward with the mean flow. Due to the limited numerical resolution only a few eddies reach the retroflection region without much modification. These eddies are responsible for drastic enhancement of the heat transfer from the Indian Ocean to the South Atlantic and lead to periodicities in the interoceanic heat transport of about 50 days superimposed on the seasonal variability. Combined satellite data from TOPEX/Poseidon and ERS-1 show that the observed vortices in the Mozambique Channel are comparable to those seen in the model. In contrast to this the simulated eddies east of Madagascar seem not to be well reproduced. Analyses of the energy conversion terms between the mean flow and the eddies suggest that barotropic instability plays an important role in the generation of Mozambique Channel eddies. For the generation of Agulhas rings and other eddy structures in the model the barotropic instability mechanism seems to be minor, and baroclinic instability mechanisms are more likely.</t>
  </si>
  <si>
    <t>Inst Meereskunde, Dept Theoret Oceanog, D-24105 Kiel, Germany</t>
  </si>
  <si>
    <t>Biastoch, A (corresponding author), Inst Meereskunde, Dept Theoret Oceanog, Dusternbrooker Weg 20, D-24105 Kiel, Germany.</t>
  </si>
  <si>
    <t>abiastoch@ifm.uni-kiel.de</t>
  </si>
  <si>
    <t>Biastoch, Arne/B-5219-2014</t>
  </si>
  <si>
    <t>Biastoch, Arne/0000-0003-3946-4390</t>
  </si>
  <si>
    <t>10.1175/1520-0485(1999)029&lt;2303:TROMEI&gt;2.0.CO;2</t>
  </si>
  <si>
    <t>246EC</t>
  </si>
  <si>
    <t>WOS:000083150600012</t>
  </si>
  <si>
    <t>Jenkins, A</t>
  </si>
  <si>
    <t>The impact of melting ice on ocean waters</t>
  </si>
  <si>
    <t>MASS BALANCE; WEDDELL SEA; SHELF; ICEBERGS; OCEANOGRAPHY; ANTARCTICA; AMUNDSEN; GLACIER; HELIUM; MODEL</t>
  </si>
  <si>
    <t>Ice melts when it is in contact with ocean waters that have temperatures above the in situ freezing point. The product is a mixture of meltwater and seawater having properties intermediate between those of the two components. Density is one of the properties that is affected, and this has important implications for how the melt-induced changes are eventually manifested. Although the direct impact of melting is to cool and dilute the ocean, subsequent convection can carry the products of melting to parts of the water column where they are comparatively warm and salty. These principles are illustrated with a set of observations from the continental shelf of the Amundsen Sea. Measurements made near a floating glacier are used to calculate the concentration of meltwater in the water column. Concentrations approaching 2% are associated with comparatively high temperatures, low dissolved oxygen concentrations, and negligible stable isotope anomalies. The impact of drifting icebergs on the Southern Ocean is discussed. Over most of the area to the south of the Polar Front, melting effects a transfer of heat from the Circumpolar Deep Water to the overlying winter water. The resultant net heat flux over the entire area is small, but locally it may exceed 100 W m(-2).</t>
  </si>
  <si>
    <t>Nat Environm Res Council, British Antarctic Survey, Cambridge CB3 OET, England</t>
  </si>
  <si>
    <t>Jenkins, A (corresponding author), Nat Environm Res Council, British Antarctic Survey, Madingley Rd, Cambridge CB3 OET, England.</t>
  </si>
  <si>
    <t>Jenkins, Adrian/IUN-2406-2023</t>
  </si>
  <si>
    <t>Jenkins, Adrian/0000-0002-9117-0616</t>
  </si>
  <si>
    <t>10.1175/1520-0485(1999)029&lt;2370:TIOMIO&gt;2.0.CO;2</t>
  </si>
  <si>
    <t>WOS:000083150600016</t>
  </si>
  <si>
    <t>Bryan, K; Dukowicz, JK; Smith, RD</t>
  </si>
  <si>
    <t>On the mixing coefficient in the parameterization of bolus velocity</t>
  </si>
  <si>
    <t>GLOBAL OCEAN CIRCULATION; MESOSCALE TRACER TRANSPORTS; HEAT-TRANSPORT; BETA-PLANE; EDDIES; MODELS; ATLANTIC; FLOW</t>
  </si>
  <si>
    <t>Mesoscale eddies in the ocean play an important role in the ocean circulation. In order to simulate the ocean circulation, mesoscale eddies must be included explicitly or parameterized. The eddy permitting calculations of the Los Alamos ocean circulation model offer a special opportunity to test aspects of parameterizations that have recently been proposed. Although the calculations are for a model in level coordinates, averages over a five-year period have been carried out by interpolating to instantaneous isopycnal surfaces. The magnitude of thickness mixing or bolus velocity is found to coincide with areas of intense mesoscale activity in the western boundary currents of the Northern Hemisphere and the Antarctic Circumpolar Current. The model also predicts relatively large bolus fluxes in the equatorial region. The analysis does show that the rotational component of the bolus velocity is significant. Predictions of the magnitude of the bolus velocity, assuming downgradient mixing of thickness with various mixing coefficients, have been compared directly with the model. The coefficient proposed by Held and Larichev provides a rather poor fit to the model results because it predicts large bolus velocity magnitudes at high latitudes and in other areas in which there is only a small amount of mesoscale activity. A much better fit is obtained using a constant mixing coefficient or a mixing coefficient originally proposed by Stone in a somewhat different context. The best fit to the model is obtained with a coefficient proportional to lambda(2)/T, where lambda is the radius of deformation, and T is the Eady timescale for the growth of unstable baroclinic waves.</t>
  </si>
  <si>
    <t>Princeton Univ, Program Atmospher &amp; Ocean Sci, Princeton, NJ 08544 USA; Univ Calif Los Alamos Natl Lab, Div Theoret, Los Alamos, NM USA</t>
  </si>
  <si>
    <t>Princeton University; National Oceanic Atmospheric Admin (NOAA) - USA; United States Department of Energy (DOE); Los Alamos National Laboratory</t>
  </si>
  <si>
    <t>Bryan, K (corresponding author), Princeton Univ, Program Atmospher &amp; Ocean Sci, POB CN710,Sayre Hall, Princeton, NJ 08544 USA.</t>
  </si>
  <si>
    <t>10.1175/1520-0485(1999)029&lt;2442:OTMCIT&gt;2.0.CO;2</t>
  </si>
  <si>
    <t>WOS:000083150600021</t>
  </si>
  <si>
    <t>Scasso, RA; Castro, LN</t>
  </si>
  <si>
    <t>Cenozoic phosphatic deposits in North Patagonia, Argentina: Phosphogenesis, sequence-stratigraphy and paleoceanography</t>
  </si>
  <si>
    <t>JOURNAL OF SOUTH AMERICAN EARTH SCIENCES</t>
  </si>
  <si>
    <t>phosphates; phosphogenesis; sequence-stratigraphy; Patagoniense; Cenozoic; paleoceanography; Patagonia; Argentina</t>
  </si>
  <si>
    <t>CARDIUM FORMATION; WESTERN INTERIOR; EROSION SURFACE; MIOCENE; PACIFIC; ALBERTA; ORIGIN</t>
  </si>
  <si>
    <t>Paleoenvironmental analysis of the Cenozoic marine section cropping out near Gaiman (Chubut Province, Argentina) shows that most of the local succession was deposited in a shallow, storm-dominated marine environment, bearing well preserved Ophiomorpha fossil traces. Sequence-stratigraphic interpretation records the effect of three sea-level oscillations. Phosphatic strata are related to mostly in situ concretions developed within transgressive-early highstand system tracts (TyPe 1) and to reworked and winnowed lags associated with transgressive surfaces (Type 2) which display a concentration of phosphatic concretions, ooids, vertebrate bones, teeth and shells. Close association of Callianasid bioturbation (Oghiomorpha) and phosphatic levels suggest a genetic link for both, via improved early-diagenetic water circulation and Fe and P early-diagenetic cycling. Phosphogenesis would have taken place after cold and corrosive water, probably similar to the present Antarctic intermediate Water (AAIW), flooded the continental shelf and mixed with warmer surficial waters. This mixing could explain the contrasting indications from the marine vertebrate fauna together with the general corrosion and replacement processes that are common in the Gaiman strata. The development of the phosphorites would have occurred at times of global climatic transition and increased oceanic circulation, probably during the Late Oligocene-Early Miocene. (C) 1999 Elsevier Science Ltd. All rights reserved.</t>
  </si>
  <si>
    <t>Univ Buenos Aires, Fac Ciencias Exactas &amp; Nat, Dept Geol, RA-1428 Buenos Aires, DF, Argentina</t>
  </si>
  <si>
    <t>Univ Buenos Aires, Fac Ciencias Exactas &amp; Nat, Dept Geol, Ciudad Univ Pab II, RA-1428 Buenos Aires, DF, Argentina.</t>
  </si>
  <si>
    <t>rscasso@gl.fcen.uba.ar; lil@gl.fcen.uba.ar</t>
  </si>
  <si>
    <t>0895-9811</t>
  </si>
  <si>
    <t>J S AM EARTH SCI</t>
  </si>
  <si>
    <t>J. South Am. Earth Sci.</t>
  </si>
  <si>
    <t>10.1016/S0895-9811(99)00035-8</t>
  </si>
  <si>
    <t>270ER</t>
  </si>
  <si>
    <t>WOS:000084522900003</t>
  </si>
  <si>
    <t>Barker, PF</t>
  </si>
  <si>
    <t>Evidence for a volcanic rifted margin and oceanic crustal structure for the Falkland Plateau Basin</t>
  </si>
  <si>
    <t>Falkland; Gondwana; Karoo; passive margins; geophysical surveys</t>
  </si>
  <si>
    <t>NORTH-SCOTIA-RIDGE; CONTINENTAL MARGINS; FLOOD BASALTS; TIME SCALE; ISLANDS; SEA; EXTENSION; GONDWANA; PACIFIC; AFRICA</t>
  </si>
  <si>
    <t>Marine geophysical data from the western Falkland Plateau show strongly lineated magnetic anomalies and a coincident linear gravity high that identify the southeastern margin of a Falkland Islands block as a volcanic rifted continental margin. Characteristics of onshore and offshore dykes suggest this margin is most probably slightly younger than 190 Ma. Together with these data, seismic reflection profiles and sonobuoy seismic refraction data from the basin province of the Falkland Plateau east of the islands indicate an elevated oceanic origin for the major part of the Falkland Plateau Basin, most probably within the Karoo hotspot province. These conclusions are compatible with, but do not directly indicate the independent rotation of a Falkland Islands block, and closely constrain models of southwest Gondwana evolution.</t>
  </si>
  <si>
    <t>Barker, PF (corresponding author), British Antarctic Survey, Madingley Rd, Cambridge CB3 0ET, England.</t>
  </si>
  <si>
    <t>10.1144/gsjgs.156.5.0889</t>
  </si>
  <si>
    <t>230EY</t>
  </si>
  <si>
    <t>WOS:000082239900003</t>
  </si>
  <si>
    <t>Crame, JA; McArthur, JM; Pirrie, D; Riding, JB</t>
  </si>
  <si>
    <t>Strontium isotope correlation of the basal Maastrichtian Stage in Antarctica to the European and US biostratigraphic schemes</t>
  </si>
  <si>
    <t>(87)Sr/(86)Sr; Maastrichtian; Antarctica; USA; Europe; correlation</t>
  </si>
  <si>
    <t>JAMES-ROSS-ISLAND; LATE CRETACEOUS STRATIGRAPHY; HETEROMORPH AMMONITES; INTERCONTINENTAL CORRELATION; PALEOTEMPERATURE VARIATION; NUMERICAL CALIBRATION; WESTERN-AUSTRALIA; SEYMOUR-ISLAND; MARAMBIO GROUP; VEGA-ISLAND</t>
  </si>
  <si>
    <t>New (87)Sr/(86)Sr dating allows the correlation of a marker horizon within the prolific Late Cretaceous Gunnarites antarcticus faunal assemblage of the Cape Lamb Member, Snow Hill Island Formation, Vega Island, Antarctica with reference sections in Europe and the USA. This horizon is between 81.5 and 96.5 m above the base of the G. antarcticus assemblage. Replicate analysis of six macrofossils from within it yielded a mean value for (87)Sr/(86)Sr of 0.707 735 9 +/- 0.000 004 3 (+/- 2 s.e., n=17). This ratio in turn yields a numerical age of 71.0 +/- 0.2 Ma when compared to the standard (87)Sr/(86)Sr reference curve for the latest Cretaceous, for which the Campanian-Maastrichtian boundary is placed at 71.3 +/- 0.5 Ma. The value of 0.707 735 9 +/- 0.000 004 3 correlates to a level in the Belemnella lanceolata belemnite Zone of the Chalk of northwestern Germany that is 2.5 +/- 5 m beneath the base of the overlying B. pseudobtusa Zone land 7.5 m above the Campanian-Maastrichtian belemnite boundary, and to an interval within the ammonite zonation of the US Western Interior that spans the early Maastrichrian Baculites baculus and B. eliasi zones, but with a most likely level within the B. eliasi Zone. An earliest Maastrichtian age is thereby determined for the Antarctic horizon, and indeed for the entire G. antarcticus assemblage. Gunnarites, sensu lato, is an important ammonite marker for the base of the Maastrichtian throughout the southern high-latitude regions, and the associated large heteromorph ammonite Diplomoceras may comprise a macrofossil link back to the Maastrichtian type sections.</t>
  </si>
  <si>
    <t>British Antarctic Survey, Cambridge CB3 0ET, England; UCL, Dept Geol Sci, London WC1E 6BT, England; Univ Exeter, Camborne Sch Mines, Redruth TR15 3SE, Cornwall, England; British Geol Survey, Nottingham NG12 5GG, England</t>
  </si>
  <si>
    <t>UK Research &amp; Innovation (UKRI); Natural Environment Research Council (NERC); NERC British Antarctic Survey; University of London; University College London; University of Exeter; UK Research &amp; Innovation (UKRI); Natural Environment Research Council (NERC); NERC British Geological Survey</t>
  </si>
  <si>
    <t>Crame, JA (corresponding author), British Antarctic Survey, High Cross,Madingley Rd, Cambridge CB3 0ET, England.</t>
  </si>
  <si>
    <t>A.Crame@bas.ac.uk; j.mcarthur@ucl.ac.uk; d.pirrie@csm.ex.ac.uk; jbr@bgs.ac.uk</t>
  </si>
  <si>
    <t>McArthur, John/C-2705-2008; McArthur, John/AAL-6354-2020</t>
  </si>
  <si>
    <t>McArthur, John/0000-0003-1461-7805; McArthur, John/0000-0003-1461-7805; Pirrie, Duncan/0000-0002-4954-5920</t>
  </si>
  <si>
    <t>UNIT 7, BRASSMILL ENTERPRISE CENTRE, BRASSMILL LANE, BATH BA1 3JN, AVON, ENGLAND</t>
  </si>
  <si>
    <t>10.1144/gsjgs.156.5.0957</t>
  </si>
  <si>
    <t>WOS:000082239900008</t>
  </si>
  <si>
    <t>Hiruki, LM; Schwartz, MK; Boveng, PL</t>
  </si>
  <si>
    <t>Hunting and social behaviour of leopard seals (Hydrurga leptonyx) at Seal Island, South Shetland Islands, Antarctica</t>
  </si>
  <si>
    <t>JOURNAL OF ZOOLOGY</t>
  </si>
  <si>
    <t>leopard seal; Hydrurga leptonyx; hunting behaviour; social behaviour; predation</t>
  </si>
  <si>
    <t>WHALES ORCINUS-ORCA; ARCTOCEPHALUS-GAZELLA; FUR SEALS; KILLER WHALES; ZALOPHUS-CALIFORNIANUS; SEASONAL OCCURRENCE; CRABEATER SEALS; HEARD-ISLAND; BIRD ISLAND; CRAB-EATER</t>
  </si>
  <si>
    <t>The hunting behaviour of leopard seals Hydrurga leptonyx was monitored opportunistically at Seal Island, South Shetland Islands, during the austral summers from 1986/87 to 1994/95. Leopard seals used several methods to catch Antarctic fur seal pups Arctocephalus gazella and chinstrap penguins Pygoscelis antarctica, and individuals showed different hunting styles and hunting success. One to two leopard seals per year were responsible for an average of 60% of observed captures of fur seal pups. Leopard seals preyed on penguins throughout the summer, but preyed on fur seal pups only between late December and mid-February. Hunting behaviour differed significantly between different locations on the island; fur seals were hunted only at one colony, and penguins were hunted in several areas. The relative abundance of prey types, size of prey in relation to predator, and specialization of individual leopard seals to hunt fur seal prey probably influence individual prey preferences among leopard seals. On five occasions, two leopard seals were seen together on Seal Island. Possible interpretations of the relationship between the interacting leopard seals included a mother-offspring relationship, a consorting male-female pair, and an adult leopard seal followed by an unrelated juvenile. In two incidents at Seal Island, two leopard seals were observed interacting while hunting: one seal captured fur seal pulps and appeared to release them to the other seal. Observations of leopard seals interacting during hunting sessions were difficult to confirm as co-operative hunting, but they strongly implied that the two seals were not agonistic toward one another. The hunting success of individual leopard seals pursuing penguins or fur seals is probably high enough for co-operative hunting not to become a common hunting strategy; however, it may occur infrequently when it increases the hunting productivity of the seals.</t>
  </si>
  <si>
    <t>NOAA, Natl Marine Fisheries Serv, Alaska Fisheries Sci Ctr, Natl Marine Mammal Lab, Seattle, WA 98115 USA</t>
  </si>
  <si>
    <t>National Oceanic Atmospheric Admin (NOAA) - USA</t>
  </si>
  <si>
    <t>Hiruki, LM (corresponding author), NOAA, Natl Marine Fisheries Serv, Alaska Fisheries Sci Ctr, Natl Marine Mammal Lab, 7600 Sand Point Way NE,Bldg 4, Seattle, WA 98115 USA.</t>
  </si>
  <si>
    <t>Schwartz, Michael/JFA-7828-2023</t>
  </si>
  <si>
    <t>Schwartz, Michael/0000-0003-3521-3367</t>
  </si>
  <si>
    <t>0952-8369</t>
  </si>
  <si>
    <t>J ZOOL</t>
  </si>
  <si>
    <t>J. Zool.</t>
  </si>
  <si>
    <t>241MW</t>
  </si>
  <si>
    <t>WOS:000082888000009</t>
  </si>
  <si>
    <t>Whitehouse, MJ; Priddle, J; Brandon, MA; Swanson, C</t>
  </si>
  <si>
    <t>A comparison of chlorophyll/nutrient dynamics at two survey sites near South Georgia, and the potential role of planktonic nitrogen recycled by land-based predators</t>
  </si>
  <si>
    <t>ANTARCTIC FUR SEALS; MACARONI PENGUINS; BIRD-ISLAND; SUMMER 1994; SCOTIA SEA; OCEAN; PHYTOPLANKTON; ATLANTIC; NUTRIENT; METABOLISM</t>
  </si>
  <si>
    <t>There is an apparent mismatch between the high carbon demand of seals and seabirds breeding on the subantarctic island of South Georgia and the overall low primary production measured in the waters that surround the island. However, average phytoplankton production values may not be completely representative, and local systems may exist where primary production is considerably higher Here. we examine the distribution of phytoplankton and nutrients along with physical oceanographic variables measured during two mesoscale surveys of two sites adjacent to South Georgia (January 1996 and December 1996-January 1997). Chlorophyll a concentrations were consistently higher (by up to an order of magnitude during one cruise) at the western end of the island (maximum &gt;30 mg m(-3)). Surface phosphate and silicate at times appeared to have been depleted to particularly low levels (&lt;0.8 and &lt;2 mmol m(-3), respectively), whereas nitrate concentrations remained relatively high throughout the two surveys (similar to 14-30 mmol m(-3)). However. ammonium, a crucial reduced nitrogen source for South Georgia phytoplankton, was plentiful and widespread in the upper mixed layer during both surveys (maximum &gt;3 mmol m(-3)). An examination of upper mixed layer nutrient dynamics showed an apparent shortfall in phytoplankton use of nitrate-nitrogen compared with silicate and phosphate at the western end of the island, where ammonium-nitrogen use appeared greatest. The western end of subantarctic island of South Georgia is noted for its large numbers of breeding Antarctic fur seals, Arctocephalus gazella, and macaroni penguins, Eudyptes chrysolophus, (similar to 2.6 x 10(6) and similar to 5.4 x 10(6) individuals, respectively). As land-breeding endotherms, these animals have high metabolic costs, and they recycle dietary nitrogen rapidly. Furthermore, because they take krill advected into their foraging range and return frequently to their colonies to feed pups and chicks, they concentrate nutrients close to the land. We evaluated the relationship between the preferential use of reduced nitrogen by phytoplankton and its production and concentration by the land-based predators (a minimum of 1 x 10(7) mol N d(-1) in January for the colonies in the study area). We examined the predators' potential for the redistribution of plankton nitrogen in an on-shelf environment where currents were relatively sluggish and encompassed retentive, eddy-like structures, which might have facilitated more stable conditions for phytoplankton growth.</t>
  </si>
  <si>
    <t>Whitehouse, MJ (corresponding author), British Antarctic Survey, NERC, High Cross,Madingley Rd, Cambridge CB3 0ET, England.</t>
  </si>
  <si>
    <t>Brandon, Mark A/A-5804-2010; Whitehouse, Martin J/E-1425-2013</t>
  </si>
  <si>
    <t>Brandon, Mark/0000-0002-7779-0958</t>
  </si>
  <si>
    <t>AMER SOC LIMNOLOGY OCEANOGRAPHY</t>
  </si>
  <si>
    <t>WACO</t>
  </si>
  <si>
    <t>5400 BOSQUE BLVD, STE 680, WACO, TX 76710-4446 USA</t>
  </si>
  <si>
    <t>10.4319/lo.1999.44.6.1498</t>
  </si>
  <si>
    <t>229PA</t>
  </si>
  <si>
    <t>WOS:000082201900013</t>
  </si>
  <si>
    <t>Ciardiello, MA; Schmitt, B; di Prisco, G; Hervé, G</t>
  </si>
  <si>
    <t>Influence of hydrostatic pressure on L-glutamate dehydrogenase from the Antarctic fish Chaenocephalus aceratus</t>
  </si>
  <si>
    <t>PYROCOCCUS-ABYSSI; STABILITY; DISSOCIATION; PROTEINS</t>
  </si>
  <si>
    <t>The influence of hydrostatic pressure on the stability and activity of glutamate dehydrogenase (GDH) from the liver of the Antarctic fish Chaenocephalus aceratus (Notothenioidei: Channichthyidae) has been investigated using the homologous bovine enzyme for comparison. At gradually increasing pressure, the fish GDH retains all activity up to 140 MPa, whereas in the same pressure range the bovine enzyme is slightly inactivated. The kinetics of pressure-induced inactivation of Antarctic GDH displays an exponentially decreasing residual activity as a function of the incubation time, whereas the bovine enzyme shows a complex pattern of behaviour in the first 20 min of incubation, attributable to the transient formation of aggregates. The coenzyme NAD increases the stability of both enzymes. The activation volume calculated for the reaction catalysed under pressure by fish GDH is higher than that of the bovine enzyme. These results indicate that the molecular properties of fish and bovine GDH are affected differently by hydrostatic pressure. A common mode of inactivation under extreme conditions of pressure and temperature of the cold-adapted Antarctic fish and mesophilic bovine GDH is deduced and discussed.</t>
  </si>
  <si>
    <t>CNR, Inst Prot Biochem &amp; Enzymol, I-80125 Naples, Italy; Univ Paris 06, CNRS, UMR 7631, Lab Biochim Signaux Regulateurs Cellulaires &amp; Mol, F-75006 Paris, France</t>
  </si>
  <si>
    <t>Consiglio Nazionale delle Ricerche (CNR); Istituto di Biochimica delle Proteine (IBP-CNR); Centre National de la Recherche Scientifique (CNRS); Sorbonne Universite</t>
  </si>
  <si>
    <t>di Prisco, G (corresponding author), CNR, Inst Prot Biochem &amp; Enzymol, Via Marconi 10, I-80125 Naples, Italy.</t>
  </si>
  <si>
    <t>Ciardiello, Maria Antonietta/AFB-6964-2022</t>
  </si>
  <si>
    <t>Ciardiello, Maria Antonietta/0000-0002-7203-0554</t>
  </si>
  <si>
    <t>10.1007/s002270050578</t>
  </si>
  <si>
    <t>237BG</t>
  </si>
  <si>
    <t>WOS:000082633300004</t>
  </si>
  <si>
    <t>Brierley, AS; Demer, DA; Watkins, JL; Hewitt, RP</t>
  </si>
  <si>
    <t>Concordance of interannual fluctuations in acoustically estimated densities of Antarctic krill around South Georgia and Elephant Island: biological evidence of same-year teleconnections across the Scotia Sea</t>
  </si>
  <si>
    <t>EUPHAUSIA-SUPERBA DANA; FISH STOCKS; VARIABILITY; RECRUITMENT; ABUNDANCE; ATLANTIC; OCEAN</t>
  </si>
  <si>
    <t>Acoustic estimates of the densities of Antarctic krill, Euphausia superba, in areas around South Georgia (SG) and Elephant Island (EI) were compared for seven austral summers between 1981 and 1997. Estimated densities of krill at SG were most often lower than at EI, although this may simply have been a function of differences in the survey and data-analysis techniques used at each site. More interestingly, the magnitudes of density and between-year gradients of density at each site were mirrored by those at the other location; for example 1991 and 1994 were years of very low krill density at both SG and EI. There was no apparent lag in changes in density between sites, and ranked between-year gradients in density at both locations were closely correlated. These pronounced similarities suggest that densities of krill at both locations are linked directly, and may be impacted by the same gross physical and biological factors (e.g. recruitment, dispersal and environmental variability) acting over the same temporal and spatial scales. The observed concordance also implies that the pelagic ecosystems at these widely separated sites (similar or equal to 1500 km distant at opposite sides of the Scotia Sea) are not operating in isolation. Fluctuations in krill density were investigated with reference to cyclical variations in sea ice extent, and in air and sea-surface temperature. The resulting model suggests that the 1999/2000 austral summer will be one of low krill density.</t>
  </si>
  <si>
    <t>British Antarctic Survey, Cambridge CB3 0ET, England; SW Fisheries Sci Ctr, La Jolla, CA 92038 USA</t>
  </si>
  <si>
    <t>UK Research &amp; Innovation (UKRI); Natural Environment Research Council (NERC); NERC British Antarctic Survey; National Oceanic Atmospheric Admin (NOAA) - USA</t>
  </si>
  <si>
    <t>, David/ABC-8990-2022; Brierley, Andrew/G-8019-2011</t>
  </si>
  <si>
    <t>, David/0000-0001-5083-8854; Brierley, Andrew/0000-0002-6438-6892</t>
  </si>
  <si>
    <t>10.1007/s002270050583</t>
  </si>
  <si>
    <t>WOS:000082633300009</t>
  </si>
  <si>
    <t>Peters, G; Saborowski, R; Buchholz, F; Mentlein, R</t>
  </si>
  <si>
    <t>Two distinct forms of the chitin-degrading enzyme N-acetyl-β-D-glucosaminidase in the Antarctic krill:: specialists in digestion and moult</t>
  </si>
  <si>
    <t>SHRIMP PALAEMON-SERRATUS; PRAWN PENAEUS-JAPONICUS; EUPHAUSIA-SUPERBA; MOLT CYCLE; MEGANYCTIPHANES-NORVEGICA; INTEGUMENT; ACETYLGLUCOSAMINIDASE; ULTRASTRUCTURE; PURIFICATION; EXOSKELETON</t>
  </si>
  <si>
    <t>In the Antarctic krill Euphausia superba two forms of the chitinolytic enzyme N-acetyl-beta-D-glucosaminidase (NAGase, EC 3.2.1.52) have been described, previously identified as NAGase B and NAGase C. Here, we demonstrate the organ-specific distribution and physiological relevance of both forms using a polyclonal antibody preparation which allows them to be distinguished immunologically. While NAGase B was localized in the integument and displayed a pattern of activity related to the moult cycle, the activity of NAGase C was independent of the moult cycle and was predominantly found in the gastrointestinal tract. Accordingly, NAGase B played a significant role in chitin degradation during the krill's moult, whereas NAGase C participated in the digestion of chitin-containing dietary components. Chromatographic elution profiles of isolated organs confirmed the immunological results by displaying characteristic organ-specific patterns in NAGase activity. The molecular characteristics of the moulting form, NAGase B, may further indicate a vesicular transport of moulting enzymes from the epidermis into the ecdysial space. Based on our results we develop a hypothesis explaining the concurrent processes of simultaneous chitin degradation and chitin synthesis occurring during moult.</t>
  </si>
  <si>
    <t>Univ Kiel, Inst Meereskunde, Abt Zool, D-24105 Kiel, Germany; Biol Anstalt Helgoland, AWI, Meeresstn, D-27498 Helgoland, Germany; Univ Kiel, Inst Anat, D-24118 Kiel, Germany</t>
  </si>
  <si>
    <t>University of Kiel; Helmholtz Association; Alfred Wegener Institute, Helmholtz Centre for Polar &amp; Marine Research; University of Kiel</t>
  </si>
  <si>
    <t>Peters, G (corresponding author), Univ Kiel, Inst Meereskunde, Abt Zool, Dusternbrooker Weg 20, D-24105 Kiel, Germany.</t>
  </si>
  <si>
    <t>Mentlein, Rolf/B-1613-2010</t>
  </si>
  <si>
    <t>Mentlein, Rolf/0000-0002-6350-3911; Saborowski, Reinhard/0000-0003-0289-6501</t>
  </si>
  <si>
    <t>SPRINGER HEIDELBERG</t>
  </si>
  <si>
    <t>HEIDELBERG</t>
  </si>
  <si>
    <t>TIERGARTENSTRASSE 17, D-69121 HEIDELBERG, GERMANY</t>
  </si>
  <si>
    <t>1432-1793</t>
  </si>
  <si>
    <t>10.1007/s002270050585</t>
  </si>
  <si>
    <t>WOS:000082633300011</t>
  </si>
  <si>
    <t>Hekinian, R; Stoffers, P; Ackermand, D; Révillon, S; Maia, M; Bohn, M</t>
  </si>
  <si>
    <t>Ridge-hotspot interaction:: the Pacific-Antarctic Ridge and the foundation seamounts</t>
  </si>
  <si>
    <t>intraplate volcanism; ridge magmatism; structure; petrology; mineralogy</t>
  </si>
  <si>
    <t>EAST PACIFIC; SOUTH-PACIFIC; SPREADING CENTERS; TECTONIC HISTORY; MANTLE PLUMES; RISE; OCEAN; BASALTS; DIFFERENTIATION; PETROGENESIS</t>
  </si>
  <si>
    <t>The study of different magmatic provinces between the Resolution fracture zone (33 degrees S-131 degrees W) and the Pacific-Antarctic Ridge (PAR) axis (37 degrees S-111 degrees W) suggests that similar processes of interaction between hotspot and spreading axial magmatism occurred 20-25 Ma and 0-5 Ma ago. There is evidence of this process from the changes in composition observed in the lavas erupted near 400-300 km between the present day PAR axis (37 degrees S-111'W) and the eastern tip of the Foundation Seamount (FS) hotspot near 36 degrees 20'S-114 degrees W where the last alkali enriched volcanics [K/Ti &gt; 0.30, Zr/Y &gt; 6 and (Ce/Yb)(N) &gt; 4] have erupted. This transitional province between the PAR and the FS consists of volcanic cones built on several volcanic ridges (&lt; 200 km in length) which have erupted less enriched volcanics such as E-[K/Ti = 0.25-0.33, Zr/Y = 5-6 and (Ce/Yb)(N) = 3-4] and T-[K/Ti = 0.11-0.25, Zr/Y = 2-4 and (Ce/Yb)(N) = 1-2] MORBs than those from the FS. It is also noticed that there is a general decrease in the degree of the basalt alkalinity (more T-MORBs) towards the PAR axis. The limit of the FS hotspot influence corresponds to the area where the VR intersect the PAR axis for a distance of about 100 km along its strike between 37 degrees 10'S and 38 degrees 20'S. Indeed, the lava erupted further to the north and to the south of these latitudes contains N-MORBs [K/Ti = 0.05-0.11, Zr/Y &lt; 3 and (Ce/Yb)(N) = &lt; 2]. Many Old Pacific Seamounts (OPS, &gt; 20 Ma) also built on volcanic ridges are identified west (&gt; 1200 km from the PAR axis) of a Failed Rift Propagator (FRP) forming the eastern boundary of the ancient Selkirk microplate. Some of these seamounts made of alkali basalts were built during the initiation of the FS hotspot 20-23 Ma ago. The interaction and the influence (thermal) of mantle plume magmatism with the ancient spreading ridge of the Farallon-Pacific plates was responsible for the eruptions of the T-MORBs and andesitic lavas. This situation is comparable to that presently observed on the PAR axis where silicic lavas are also erupted in association with T-MORBs. (C) 1999 Elsevier Science B.V. All rights reserved.</t>
  </si>
  <si>
    <t>IFREMER, Ctr Brest, CNRS, UMR 6538, F-29280 Plouzane, France; Univ Kiel, Inst Geol Palaontol, D-24118 Kiel, Germany; Univ Kiel, Mineral Petrog Inst, D-24118 Kiel, Germany; Univ Rennes 1, UPR Geosci Rennes 4661, F-35042 Rennes, France; Univ Europeen de la Mer, CNRS, UMR 6538, F-29280 Plouzane, France</t>
  </si>
  <si>
    <t>Universite de Bretagne Occidentale; Ifremer; Centre National de la Recherche Scientifique (CNRS); CNRS - National Institute for Earth Sciences &amp; Astronomy (INSU); University of Kiel; University of Kiel; Universite de Rennes; Centre National de la Recherche Scientifique (CNRS); CNRS - National Institute for Earth Sciences &amp; Astronomy (INSU); Universite de Bretagne Occidentale</t>
  </si>
  <si>
    <t>Hekinian, R (corresponding author), IFREMER, Ctr Brest, CNRS, UMR 6538, F-29280 Plouzane, France.</t>
  </si>
  <si>
    <t>hekinian@ifremer.fr</t>
  </si>
  <si>
    <t>Maia, Marcia/A-7076-2010; Revillon, Sidonie/A-7101-2010</t>
  </si>
  <si>
    <t>Revillon, Sidonie/0000-0001-8370-4545</t>
  </si>
  <si>
    <t>10.1016/S0025-3227(99)00027-4</t>
  </si>
  <si>
    <t>232TG</t>
  </si>
  <si>
    <t>WOS:000082385600001</t>
  </si>
  <si>
    <t>van Lipzig, NPM; van Meijgaard, E; Oerlemans, J</t>
  </si>
  <si>
    <t>Evaluation of a regional atmospheric model using measurements of surface heat exchange processes from a site in Antarctica</t>
  </si>
  <si>
    <t>OPERATIONAL NUMERICAL-ANALYSES; GENERAL-CIRCULATION MODEL; CLIMATE MODEL; MESOSCALE MODEL; ENERGY BALANCE; BLUE ICE; SIMULATIONS; PARAMETERIZATION; VALIDATION; PREDICTION</t>
  </si>
  <si>
    <t>A regional atmospheric climate model with a horizontal grid spacing of 55 km has been used to simulate the Antarctic atmosphere during an austral summer period. ECMWF reanalyses were used to force the atmospheric prognostic variables from the lateral boundaries. Sea surface temperatures and the sea ice mask in the model were prescribed from observations. Parameterizations of the physical processes were taken from the ECHAM4 general circulation model. Before applying the model to Antarctic conditions, several adjustments had been made to the original code. In particular, a better correspondence between model output and measurements was accomplished by 1) the use of a fixed value of 0.8 for the surface albedo rather than applying an albedo that linearly rises with surface temperature and 2) the use of the volumetric heat capacity and the thermal diffusivity of snow rather than employing the values for ice. The model is evaluated for the period 14-19 January 1993 (P1) on the basis of an extensive dataset compiled from measurements made at a site (Svea) in Dronning Maud Land. This dataset contains boundary layer temperature and specific humidity profiles, snow temperatures, and surface heat fluxes. The surface fluxes were obtained from direct measurements combined with an energy balance model. The atmospheric temperature profiles simulated at the grid points corresponding most closely to Svea are in good agreement with the measured profiles, although the model slightly overestimates the vertical temperature gradient. The model probably underestimates the turbulent transport of heat and moisture to atmospheric layers above roughly 200 m. At Svea a cloud cover of less than 0.5 octas was observed during P1. The model overestimates the cloud cover, which results in an underestimation of shortwave and an overestimation of longwave radiative fluxes at the surface. The simulated values for the net radiative fluxes, the heat flux into the snow, and the turbulent heat fluxes correspond within 4 W m(-2) to the fluxes that were inferred from measurements.</t>
  </si>
  <si>
    <t>Royal Netherlands Meteorol Inst, NL-3730 AE De Bilt, Netherlands; Inst Marine &amp; Atmospher Res Utrecht, Utrecht, Netherlands</t>
  </si>
  <si>
    <t>Royal Netherlands Meteorological Institute; Utrecht University</t>
  </si>
  <si>
    <t>van Lipzig, NPM (corresponding author), NKMI, POB 201, NL-3730 AE De Bilt, Netherlands.</t>
  </si>
  <si>
    <t>Oerlemans, Johannes/G-3802-2011; van Lipzig, Nicole/ABF-2964-2021</t>
  </si>
  <si>
    <t>van Lipzig, Nicole/0000-0003-2899-4046</t>
  </si>
  <si>
    <t>10.1175/1520-0493(1999)127&lt;1994:EOARAM&gt;2.0.CO;2</t>
  </si>
  <si>
    <t>240XD</t>
  </si>
  <si>
    <t>WOS:000082851600005</t>
  </si>
  <si>
    <t>Stone, JL</t>
  </si>
  <si>
    <t>10.1097/00006123-199909000-00062</t>
  </si>
  <si>
    <t>235MT</t>
  </si>
  <si>
    <t>WOS:000082546000128</t>
  </si>
  <si>
    <t>Kondziolka, D; Fodstad, H</t>
  </si>
  <si>
    <t>Arctic and Antarctic exploration including the contributions of physicians and effects of disease in the polar regions - Reply</t>
  </si>
  <si>
    <t>WOS:000082546000129</t>
  </si>
  <si>
    <t>Visser, IN</t>
  </si>
  <si>
    <t>Antarctic orca in New Zealand waters?</t>
  </si>
  <si>
    <t>NEW ZEALAND JOURNAL OF MARINE AND FRESHWATER RESEARCH</t>
  </si>
  <si>
    <t>Orcinus orca; New Zealand; Antarctic; pigmentation; dorsal cape; eye patch; migration; photo-identification</t>
  </si>
  <si>
    <t>WHALES ORCINUS-ORCA; KILLER WHALES; SIGHTINGS; ALASKA</t>
  </si>
  <si>
    <t>I report on a group of orca (Orcinus orca (Linnaeus, 1758)) near the Bay of Islands, New Zealand, which were a lighter coloration than orca usually seen in these waters. Differences in pigmentation included a light grey caudal peduncle area and a dorsal cape, which has previously only been described for Antarctic orca. The size and shape of the eye patches were not consistent with orca photo-identified in New Zealand. I suggest that this group of orca, although observed in New Zealand waters, were of Antarctic origin.</t>
  </si>
  <si>
    <t>Orca Project Aorangi, Matapouri Rd,RD 3, Whangarei, New Zealand</t>
  </si>
  <si>
    <t>Orca Project Aorangi, Matapouri Rd,RD 3, Whangarei, New Zealand.</t>
  </si>
  <si>
    <t>Visser, Ingrid Natasha/ABE-4929-2021</t>
  </si>
  <si>
    <t>Visser, Ingrid/0000-0001-8613-6598</t>
  </si>
  <si>
    <t>0028-8330</t>
  </si>
  <si>
    <t>1175-8805</t>
  </si>
  <si>
    <t>NEW ZEAL J MAR FRESH</t>
  </si>
  <si>
    <t>N. Z. J. Mar. Freshw. Res.</t>
  </si>
  <si>
    <t>10.1080/00288330.1999.9516896</t>
  </si>
  <si>
    <t>245DP</t>
  </si>
  <si>
    <t>WOS:000083091200017</t>
  </si>
  <si>
    <t>Deltoro, VI; Calatayud, A; Morales, F; Abadía, A; Barreno, E</t>
  </si>
  <si>
    <t>Changes in net photosynthesis, chlorophyll fluorescence and xanthophyll cycle interconversions during freeze-thaw cycles in the Mediterranean moss Leucodon sciuroides</t>
  </si>
  <si>
    <t>bryophytes; chlorophyll a fluorescence; downregulation; freezing tolerance</t>
  </si>
  <si>
    <t>ZEAXANTHIN-ASSOCIATED PHOTOPROTECTION; ENERGY-DISSIPATION; ELECTRON-TRANSPORT; ANTARCTIC MOSS; WATER RELATIONS; CO2 EXCHANGE; RAIN-FOREST; PHOTOINHIBITION; DEHYDRATION; DESICCATION</t>
  </si>
  <si>
    <t>The tolerance to freezing and thawing of Leucodon sciuroides, a moss growing in mountainous areas of the Mediterranean (south-east Spain), was investigated by means of CO2 gas exchange, modulated chlorophyll (Chl) a fluorescence and pigment analysis by high-performance liquid chromatography. Evidence is presented for freezing-induced decreases in CO2 fixation that enhance non-radiative dissipation of absorbed light energy, a process which protects the photosynthetic apparatus. The photosynthetic apparatus of L. sciuroides remained fully recuperable after freezing, as indicated by the recovery of photosynthetic CO2 fixation and Chl fluorescence parameters to pre-freezing values during thawing. The rapid recovery of photosynthesis activity during thawing in L. sciuroides suggests that this moss is capable of tolerating freeze-thaw cycles in a manner similar to that found at higher latitudes or in the Antarctic. The resistance of the photosynthetic apparatus of this moss to freezing might be achieved, at least partially, through the employment of dissipative pathways, such as non-radiative dissipation of absorbed light energy.</t>
  </si>
  <si>
    <t>Univ Valencia, Fac Ciencias Biol, Dept Biol Vegetal, E-46100 Burjassot, Spain; CSIC, Estac Expt Aula Dei, Dept Plant Nutr, E-50080 Zaragoza, Spain</t>
  </si>
  <si>
    <t>University of Valencia; Consejo Superior de Investigaciones Cientificas (CSIC); CSIC - Estacion Experimental de Aula Dei (EEAD)</t>
  </si>
  <si>
    <t>Univ Valencia, Fac Ciencias Biol, Dept Biol Vegetal, C Dr Moliner 50, E-46100 Burjassot, Spain.</t>
  </si>
  <si>
    <t>Morales, Fermin/A-7981-2008; Rodríguez, Eva Barreno/M-2525-2014; Calatayud, Angeles/D-8110-2014; Morales, Fermin/JBR-8735-2023; Abadia, Anunciacion/A-7474-2010</t>
  </si>
  <si>
    <t>Morales, Fermin/0000-0003-1834-4322; Rodríguez, Eva Barreno/0000-0002-2622-4550; Calatayud, Angeles/0000-0002-1728-2273; Abadia, Anunciacion/0000-0003-3609-7070</t>
  </si>
  <si>
    <t>1432-1939</t>
  </si>
  <si>
    <t>10.1007/s004420050883</t>
  </si>
  <si>
    <t>241AJ</t>
  </si>
  <si>
    <t>WOS:000082858900004</t>
  </si>
  <si>
    <t>Sumathi, R; Peyerimhoff, SD</t>
  </si>
  <si>
    <t>Density functional studies on HO+BrO and HO2+Br reactions</t>
  </si>
  <si>
    <t>ANTARCTIC STRATOSPHERE; ATMOSPHERIC BROMINE; CHEMISTRY; OZONE; ISOMERS; CLO</t>
  </si>
  <si>
    <t>The potential energy profile (PES) of the [HBrO2] system has been studied at density functional theory level using the 6-311G(2df,2pd) basis set. The structural parameters of the isomers of [HBrO2] have also been optimised at second-order Moller-Plesset perturbation (MP2) and complete active space (CAS(12,12)) self-consistent field levels using respectively, the 6-311G(2df,2pd) and 6-31G** basis sets. Three isomers, of relative thermodynamic stability HOOBr (1)&gt; HOBrO (2)&gt; HBrO2 (3), have been identified and characterised as energy minima. Besides these covalently bound minima, various loose hydrogen-bonded complexes [OOH ... Br 5a(s), 5'a(t) and O ... HOBr 7a(t)] have been located on the singlet and triplet PES. Isomerisation, molecular elimination and direct hydrogen abstraction saddle points have been traced and a qualitative understanding of the mechanism and kinetics of the stratospherically important HO+BrO, HO2 +Br reactions has been derived.</t>
  </si>
  <si>
    <t>Univ Bonn, Lehrstuhl Theoret Chem, D-53115 Bonn, Germany</t>
  </si>
  <si>
    <t>Peyerimhoff, SD (corresponding author), Univ Bonn, Lehrstuhl Theoret Chem, Wegelerstr 12, D-53115 Bonn, Germany.</t>
  </si>
  <si>
    <t>PCCP Phys. Chem. Chem. Phys.</t>
  </si>
  <si>
    <t>10.1039/a904093e</t>
  </si>
  <si>
    <t>229LZ</t>
  </si>
  <si>
    <t>WOS:000082197200019</t>
  </si>
  <si>
    <t>Kuznetsov, VV</t>
  </si>
  <si>
    <t>A model of virtual geomagnetic pole motion during reversals</t>
  </si>
  <si>
    <t>PHYSICS OF THE EARTH AND PLANETARY INTERIORS</t>
  </si>
  <si>
    <t>1 09 Session on Reversals and Excursions - Records and Processes, at the IAGA 8th Scientific Assembly</t>
  </si>
  <si>
    <t>AUG 11, 1997</t>
  </si>
  <si>
    <t>UPPSALA, SWEDEN</t>
  </si>
  <si>
    <t>virtual geomagnetic pole; motion; reversals</t>
  </si>
  <si>
    <t>EARTHS MAGNETIC-FIELD; SECULAR VARIATION; PATHS; CORE; TRANSITION</t>
  </si>
  <si>
    <t>A new model of virtual geomagnetic pole motion during a reversal of the Earth's magnetic field is proposed. The model is based on the idea that the geomagnetic field is the summation of the dipole field and the field of global magnetic anomalies (GMAs). At the time of a reversal, the dipole field changes its sign and the field of the GMAs remains non-zero. The geographic location of the global magnetic anomalies (Canadian, Brazilian, Siberian and Antarctic) are close to the 90 degrees W and 90 degrees E meridians; this defines the paths of the virtual pole drift at the time of a reversal. (C) 1999 Elsevier Science B.V. All rights reserved.</t>
  </si>
  <si>
    <t>Russian Acad Sci, Geophys Observ, Siberian Branch, Inst Geophys, Novosibirsk 630090, Russia</t>
  </si>
  <si>
    <t>Russian Academy of Sciences; Sobolev Institute of Geology &amp; Mineralogy of the Russian Academy of Sciences; Trofimuk Institute of Petroleum Geology &amp; Geophysics</t>
  </si>
  <si>
    <t>Kuznetsov, VV (corresponding author), Russian Acad Sci, Geophys Observ, Siberian Branch, Inst Geophys, Koptyug Ave 3, Novosibirsk 630090, Russia.</t>
  </si>
  <si>
    <t>0031-9201</t>
  </si>
  <si>
    <t>PHYS EARTH PLANET IN</t>
  </si>
  <si>
    <t>Phys. Earth Planet. Inter.</t>
  </si>
  <si>
    <t>10.1016/S0031-9201(99)00075-8</t>
  </si>
  <si>
    <t>238DU</t>
  </si>
  <si>
    <t>WOS:000082696300008</t>
  </si>
  <si>
    <t>Froneman, PW; Ansorge, IJ; Pakhomovo, EA; Lutjeharms, JRE</t>
  </si>
  <si>
    <t>Plankton community structure in the physical environment surrounding the Prince Edward Islands (Southern Ocean)</t>
  </si>
  <si>
    <t>ANTARCTIC CIRCUMPOLAR CURRENT; DRAKE PASSAGE; POLAR FRONT; MICROPHYTOPLANKTON ASSEMBLAGES; SUBTROPICAL CONVERGENCE; WATER MASSES; SUMMER; ZONE; PHYTOPLANKTON; TRANSPORT</t>
  </si>
  <si>
    <t>The results are presented of a macroscale physical and biological oceanographic survey conducted during the second Marion Island Offshore Study in the upstream and downstream regions of the Prince Edward Islands in the austral autumn (April/May) 1997. Upstream of the islands, the Sub-Antarctic Front appeared to combine with the Antarctic Polar Front to form an intensive frontal feature. Closer to the islands, the fronts appeared to separate. Influenced by the shallow topography of the southwest Indian ridge, the Sub-Antarctic Front was steered northwards around the islands while the Antarctic polar front appeared to meander eastwards, where it was again encountered in the southeastern corner of the survey grid. Downstream of the islands, an intensive cold-core eddy within the Polar Frontal Zone was observed. Its exact genesis is unknown but it is possibly generated by instabilities within the meandering Antarctic polar front as its surface signature was characteristic of Antarctic surface water masses found south of the Antarctic polar front. The cold-core eddy appeared to displace the sub-Antarctic front northwards. South of the eddy, a warm patch of sub-Antarctic surface water was observed; its position appeared to be controlled by the meandering Antarctic Polar Front which lay on either side of this feature. No distinct microphytoplankton groupings could be distinguished by numerical analyses, although four distinct zooplankton groupings were identified. These corresponded to the sub-Antarctic surface waters: Antarctic surface waters and the polar frontal zone waters. The fourth grouping comprised those stations where the lowest zooplankton abundances during the entire investigation were recorded and, as a consequence, does not reflect any spatial patterns. These results suggest that the species composition and distribution of plankton in the vicinity of the islands were consistent with the prevailing oceanographic regime.</t>
  </si>
  <si>
    <t>Rhodes Univ, Dept Zool &amp; Entomol, So Ocean Grp, ZA-6140 Grahamstown, South Africa; Univ Cape Town, Dept Oceanog, Ocean Climatol Res Grp, ZA-7701 Rondebosch, South Africa</t>
  </si>
  <si>
    <t>Rhodes University; University of Cape Town</t>
  </si>
  <si>
    <t>Rhodes Univ, Dept Zool &amp; Entomol, So Ocean Grp, Box 94, ZA-6140 Grahamstown, South Africa.</t>
  </si>
  <si>
    <t>zopf@warthog.ru.ac.za</t>
  </si>
  <si>
    <t>Froneman, William/GLS-0460-2022; ANSORGE, ISABELLE/AAY-7396-2020; Froneman, William/C-9085-2012</t>
  </si>
  <si>
    <t>Froneman, William/0000-0003-0615-1355; Ansorge, Isabelle/0000-0001-7071-8147</t>
  </si>
  <si>
    <t>10.1007/s003000050404</t>
  </si>
  <si>
    <t>233JD</t>
  </si>
  <si>
    <t>WOS:000082423000001</t>
  </si>
  <si>
    <t>Berrow, SD; Taylor, RI; Murray, AWA</t>
  </si>
  <si>
    <t>Influence of sampling protocol on diet determination of gentoo penguins Pygoscelis papua and Antarctic fur seals Arctocephalus gazella</t>
  </si>
  <si>
    <t>SOUTH GEORGIA; EUDYPTES-CHRYSOLOPHUS; MACARONI PENGUINS; ISLAND; WINTER; FOOD</t>
  </si>
  <si>
    <t>The influence of two sampling protocols on diet determination of two marine predators, the gentoo penguin (Pygoscelis papua) and Antarctic fur seal (Arctocephalus gazella), was investigated. The collection of diet samples on three occasions over a 2-week period was compared with collecting all samples during a single session, as current CCAMLR Ecosystem Monitoring Programme protocols recommend. Some differences in the mass of food recovered from penguins were found but this was attributed to the mass of penguin sampled. There were no differences in diet composition between protocols and although body mass was a significant determinant of the mean length of krill Euphausia superba recovered from penguins, there were no differences between sampling protocols. This study has shown that; differences between sampling frequencies are small and a variety of sampling protocols can produce results acceptable for inter-annual monitoring. The mass of sampled individuals can account for significant variation and should be recorded, especially if sampling frequencies and sizes are low.</t>
  </si>
  <si>
    <t>sdbe@pcmail.nerc-bas.ac.uk</t>
  </si>
  <si>
    <t>Mandalakis, Manolis/M-4606-2019; Tsapakis, Manolis/G-9734-2011</t>
  </si>
  <si>
    <t>10.1007/s003000050405</t>
  </si>
  <si>
    <t>WOS:000082423000002</t>
  </si>
  <si>
    <t>Gradinger, R</t>
  </si>
  <si>
    <t>Integrated abundance and biomass of sympagic meiofauna in Arctic and Antarctic pack ice</t>
  </si>
  <si>
    <t>WEDDELL SEA ANTARCTICA; SOUTHWESTERN BEAUFORT SEA; MICROBIAL FOOD-WEB; RESOLUTE-PASSAGE; COMMUNITY STRUCTURE; FROBISHER BAY; LIFE-CYCLE; ALGAE; COPEPODA; OCEAN</t>
  </si>
  <si>
    <t>The abundance and biomass of sympagic meiofauna were studied during three cruises to the Antarctic and one summer expedition to the central Arctic Ocean. Ice samples were collected by ice coring and algal pigment concentrations and meiofauna abundances were determined for entire cores. Median meiofauna abundances for the expeditions ranged from 4.4 to 139.5 x 10(3) organisms m(-2) in Antarctic sea ice and accounted for 40.6 x 10(3) organisms m(-2) in Arctic multiyear sea ice. While most taxa (ciliates, foraminifers, turbellarians, crustaceans) were common in both Arctic and Antarctic sea ice, nematodes and rotifers occurred only in the Arctic. Based on the calculated biomass, the potential meiofauna ingestion rates were determined by applying an allometric model. For both hemispheres, daily and yearly potential ingestion rates were below the production values of the ice algal communities, pointing towards non-limited feeding conditions for ice meiofauna year-round.</t>
  </si>
  <si>
    <t>Univ Kiel, Inst Polar Ecol, D-24148 Kiel, Germany</t>
  </si>
  <si>
    <t>Univ Kiel, Inst Polar Ecol, Wischhofstr 1-3,Gebaude 12, D-24148 Kiel, Germany.</t>
  </si>
  <si>
    <t>rgradinger@ipoe.uni-kiel.de</t>
  </si>
  <si>
    <t>Gradinger, Rolf/E-4965-2015</t>
  </si>
  <si>
    <t>Gradinger, Rolf/0000-0001-6035-3957</t>
  </si>
  <si>
    <t>10.1007/s003000050407</t>
  </si>
  <si>
    <t>WOS:000082423000004</t>
  </si>
  <si>
    <t>Waugh, SM; Prince, PA; Weimerskirch, H</t>
  </si>
  <si>
    <t>Geographical variation in morphometry of black-browed and grey-headed albatrosses from four sites</t>
  </si>
  <si>
    <t>FRATERCULA-ARCTICA; GROWTH; PUFFINS; EFFICIENCY; HABITATS; SUCCESS; ISLAND; BIRDS; SIZE</t>
  </si>
  <si>
    <t>Differences in morphometry between five populations of black-browed albatrosses (Diomedea melanophrys) and four populations of grey-headed albatrosses (D. chrysostoma) are examined. Two clear groups of black-browed albatrosses are evident, with birds from the subspecies Diomedea melanophrys impavida showing significant differences in several variables from those from the subspecies Diomedea melanophrys melanophrys. For groups from the latter subspecies, birds from South Georgia had larger measures than those from Kerguelen. A similar pattern to that of Diomedea melanophrys, melanophrys was found between the groups of grey-headed albatrosses. Analysis of foraging distances relative to adult body-size index and the duration of chick-rearing periods suggests that differences in chick-provisioning rates between populations of conspecifics could account for at least some of the observed differences in adult morphometry.</t>
  </si>
  <si>
    <t>CNRS, CEBC, F-79360 Beauvoir Sur Niort, France; NIWA, Christchurch, New Zealand; British Antarctic Survey, NERC, Cambridge CB3 0ET, England</t>
  </si>
  <si>
    <t>Centre National de la Recherche Scientifique (CNRS); National Institute of Water &amp; Atmospheric Research (NIWA) - New Zealand; UK Research &amp; Innovation (UKRI); Natural Environment Research Council (NERC); NERC British Antarctic Survey</t>
  </si>
  <si>
    <t>Waugh, SM (corresponding author), CNRS, CEBC, F-79360 Beauvoir Sur Niort, France.</t>
  </si>
  <si>
    <t>susanwaugh@netscape.net</t>
  </si>
  <si>
    <t>Weimerskirch, Henri/K-7306-2019; Weimerskirch, Henri/F-5562-2013</t>
  </si>
  <si>
    <t>Weimerskirch, Henri/0000-0002-0457-586X;</t>
  </si>
  <si>
    <t>10.1007/s003000050409</t>
  </si>
  <si>
    <t>WOS:000082423000006</t>
  </si>
  <si>
    <t>Corkeron, PJ; Ensor, P; Matsuoka, K</t>
  </si>
  <si>
    <t>Observations of blue whales feeding in Antarctic waters</t>
  </si>
  <si>
    <t>BEHAVIOR</t>
  </si>
  <si>
    <t>There are no published accounts of blue whales (Balaenoptera musculus) feeding in Antarctic waters. This note describes the behaviour of two groups of blue whales feeding in Antarctic pelagic waters. Whales were observed during the 18th IWC/IDCR southern hemisphere minke whale assessment cruise. Feeding behaviour in both cases resembled those described previously for both northern hemisphere blue whales and fin whales (B. physalus). These observations suggest that a programme of comparative behavioural observations could be developed to test the feeding competition hypothesis, which suggests that recovery of populations of blue whales will be impeded by feeding competition with sympatric minke whales.</t>
  </si>
  <si>
    <t>James Cook Univ N Queensland, Sch Trop Environm Studies &amp; Geog, Townsville, Qld 4811, Australia; Governors Bay, Lyttelton, New Zealand; Inst Cetacean Res, Chuo Ku, Tokyo 104, Japan</t>
  </si>
  <si>
    <t>James Cook University</t>
  </si>
  <si>
    <t>Corkeron, PJ (corresponding author), James Cook Univ N Queensland, Sch Trop Environm Studies &amp; Geog, Townsville, Qld 4811, Australia.</t>
  </si>
  <si>
    <t>Peter.Corkeron@jcu.edu.au</t>
  </si>
  <si>
    <t>Corkeron, Peter/I-1170-2019</t>
  </si>
  <si>
    <t>Corkeron, Peter/0000-0003-1553-1253</t>
  </si>
  <si>
    <t>10.1007/s003000050412</t>
  </si>
  <si>
    <t>WOS:000082423000009</t>
  </si>
  <si>
    <t>Rodger, CJ; Clilverd, MA; Thomson, NR</t>
  </si>
  <si>
    <t>Modeling of subionospheric VLF signal perturbations associated with earthquakes</t>
  </si>
  <si>
    <t>RADIO SCIENCE</t>
  </si>
  <si>
    <t>RADIO-WAVES; IONOSPHERE; FIELD; PROPAGATION</t>
  </si>
  <si>
    <t>It has been reported that propagation of very low frequency (VLF) waves in the Earth-ionosphere waveguide might provide an indication of imminent earthquakes [Hayakawa et al., 1996; Molchanov et at, 1998]. Narrow-band data from Inubo, Japan, suggested that transmissions from Omega Japan, 1000 km away, might be influenced by pre-earthquake processes. The terminator time (TT) was defined as the time where a minimum occurred in the received phase (or amplitude) during sunrise and sunset. A few days before an earthquake the TT was observed to deviate significantly from the monthly averages, producing a longer VLF day. The TT effect has been explained through some rather simple modeling by a 1-2 km drop in the VLF reflection height at the lower ionospheric boundary. In this study we apply more realistic propagation models to show that the changes in VLF reflection height associated with earthquakes would have to be considerably larger (similar to 4-11 km) than those suggested previously in order to produce the reported effect. If the reported TT changes were caused by alterations in the VLF reflection height associated in some manner with an imminent earthquake, these effects would be commensurate with the effects of a solar flare. However, this would lead to changes in received amplitude (or phase) that would be significant at all times, and not just during the day/night transition. Hence it is not at all clear that a simple height-lowering explanation for the TT effect is correct.</t>
  </si>
  <si>
    <t>British Antarctic Survey, NERC, Div Phys Sci, Cambridge CB3 0ET, England; Univ Otago, Dept Phys, Dunedin, New Zealand</t>
  </si>
  <si>
    <t>UK Research &amp; Innovation (UKRI); Natural Environment Research Council (NERC); NERC British Antarctic Survey; University of Otago</t>
  </si>
  <si>
    <t>Rodger, CJ (corresponding author), British Antarctic Survey, NERC, Div Phys Sci, High Cross,Madingley Rd, Cambridge CB3 0ET, England.</t>
  </si>
  <si>
    <t>0048-6604</t>
  </si>
  <si>
    <t>RADIO SCI</t>
  </si>
  <si>
    <t>Radio Sci.</t>
  </si>
  <si>
    <t>10.1029/1999RS900061</t>
  </si>
  <si>
    <t>Astronomy &amp; Astrophysics; Geochemistry &amp; Geophysics; Meteorology &amp; Atmospheric Sciences; Remote Sensing; Telecommunications</t>
  </si>
  <si>
    <t>239PL</t>
  </si>
  <si>
    <t>WOS:000082778600012</t>
  </si>
  <si>
    <t>Romero, M; Casanova, A; Iturra, G; Reyes, A; Montenegro, G; Alberdi, M</t>
  </si>
  <si>
    <t>Leaf anatomy of Deschampsia antarctica (Poaceae) from the Maritime Antarctic and its plastic response to changes in the growth conditions</t>
  </si>
  <si>
    <t>REVISTA CHILENA DE HISTORIA NATURAL</t>
  </si>
  <si>
    <t>Deschampsia antarctica; Poaceae; Antarctic; leaf anatomy; phenotypical anatomical changes and temperature</t>
  </si>
  <si>
    <t>FRUCTANS; RATIOS; WATER</t>
  </si>
  <si>
    <t>The leaf blade anatomical features of Deschampsia antarctica Desv. growing in Robert Island, South Shetland Islands, Maritime Antarctic (62 degrees 22'S 59 degrees 43'W) and in clones cultivated in the laboratory for two years, at 2 +/- 1.5 and 13 +/- 1.5 degrees C and 180 mu mol m(-2) s(-1) of irradiance were studied by light and scanning electron microcospy. Since D. antarctica is growing under the harsh environmental conditions of the Maritime Antarctic for at least five millennia, it is postulated, that their leaf anatomy may show genotypic adaptations to this environment, which should be maintained when clones of this plant are cultivated under different conditions. In this Antarctic habitat, mean air temperature of January was ca. 2.8 degrees C (&lt;8 to -2.5 degrees C) and the maximal irradiance was ca. 2000 mmol m(-2) s(-1). A strong variation was found in the anatomical characteristics of the leaf surface and in the leaf cross section, between plants growing in the field and their clones growing at the highest temperature in the laboratory (13 degrees C). The leaf surface of the Antarctic samples showed more xerophytic characteristics (smaller leaf surface and epidermal cells, higher leaf thickness, higher stomata density and number of cells per area) than the leaves of plants cultivated at 13 degrees C. Additionally, Antarctic samples presented stomata in both surfaces and epidermal cells with turgid papillae. Therefore, the taxonomic value of epidermal characteristics for identification of Poaceae could be questioned.. In the leaf transverse section the vascular bundles of the Antarctic samples appeared surrounded with two bundle sheaths: an outer, with parenchymatous cells without chloroplasts, and an inner or mestome with thick walls. The outer bundle sheath was absent in leafs of plants growing at 13 degrees C. Xylem of leaf Antarctic samples did not present lacuna and their vessel lumens were smaller than at 13 degrees C. Leaf anatomical characteristics of plants growing at 2 degrees C correspond to an intermediate state between the two mentioned conditions. The results suggest that the leaf anatomical features of D. antarctica do not correspond to a genotypic adaptation to the harsh environmental Antarctic conditions, but rather to a plastic response of the phenotype to ameliorated growth conditions in the laboratory.</t>
  </si>
  <si>
    <t>Univ Austral Chile, Fac Ciencias, Inst Bot, Valdivia, Chile</t>
  </si>
  <si>
    <t>Universidad Austral de Chile</t>
  </si>
  <si>
    <t>Univ Austral Chile, Fac Ciencias, Inst Bot, Casilla 567, Valdivia, Chile.</t>
  </si>
  <si>
    <t>malberdi@.uach.cl</t>
  </si>
  <si>
    <t>Casanova-Katny, Angelica/M-3994-2014</t>
  </si>
  <si>
    <t>SOC BIOLGIA CHILE</t>
  </si>
  <si>
    <t>SANTIAGO</t>
  </si>
  <si>
    <t>CASILLA 16164, SANTIAGO 9, CHILE</t>
  </si>
  <si>
    <t>0716-078X</t>
  </si>
  <si>
    <t>0717-6317</t>
  </si>
  <si>
    <t>REV CHIL HIST NAT</t>
  </si>
  <si>
    <t>Rev. Chil. Hist. Nat.</t>
  </si>
  <si>
    <t>249XN</t>
  </si>
  <si>
    <t>WOS:000083358600009</t>
  </si>
  <si>
    <t>Metzl, N; Tilbrook, B; Poisson, A</t>
  </si>
  <si>
    <t>The annual fCO2 cycle and the air-sea CO2 flux in the sub-Antarctic Ocean</t>
  </si>
  <si>
    <t>TELLUS SERIES B-CHEMICAL AND PHYSICAL METEOROLOGY</t>
  </si>
  <si>
    <t>EASTERN EQUATORIAL PACIFIC; CARBON-DIOXIDE; PARTIAL-PRESSURE; ATMOSPHERIC CO2; SOUTHERN-OCEAN; SURFACE WATERS; INDIAN-OCEAN; INTERANNUAL VARIATIONS; NORTH PACIFIC; EL-NINO</t>
  </si>
  <si>
    <t>The sub-Antarctic zone (SAZ) lies between the subtropical convergence (STC) and the sub-Antarctic front (SAF), and is considered one of the strongest oceanic sinks of atmospheric CO2. The strong sink results from high winds and seasonally low sea surface fugacities of CO2(fCO(2)), relative to atmospheric fCO(2). The region of the SAZ, and immediately south, is also subject to mode and intermediate water formation, yielding a penetration of anthropogenic CO2 below the mixed layer. A detailed analysis of continuous measurements made during the same season and year, February-March 1993, shows a coherent pattern of fCO(2) distributions at the eastern (WOCE/SR3 at about 145 degrees E) and western edges (WOCE/I6 at 30 degrees E) of the Indian sector of the Southern Ocean. A strong CO2 sink develops in the Austral summer (Delta fCO(2) &lt; - 50 mu atm) in both the eastern (110 degrees 150 degrees E) and western regions (20 degrees-90 degrees E). The strong CO2 sink in summer is due to the formation of a shallow seasonal mixed-layer (about 100 m). The CO2 drawdown in the surface water is consistent with biologically mediated drawdown of carbon over summer. In austral winter, surface fCO(2) is close to equilibrium with the atmosphere (Delta fCO(2) +/- 5 mu atm), and the net CO2 exchange is small compared to summer. The near-equilibrium values in winter are associated with the formation of deep winter mixed-layers (up to 700 m). For years 1992-95, the annual CO2 uptake for the Indian Ocean sector of the sub-Antarctic Zone (40 degrees-50 degrees S, 20 degrees-150 degrees E) is estimated to be about 0.4 GtC yr(-1). Extrapolating this estimate to the entire sub-Antarctic zone suggests the uptake in the circumpolar SAZ is approaching 1 GtC yr(-1).</t>
  </si>
  <si>
    <t>CNRS, UPMC, Phys &amp; Chim Marines Lab, F-75252 Paris 05, France; Antarctic CRC, Hobart, Tas 7001, Australia; CSIRO, Hobart, Tas 7001, Australia</t>
  </si>
  <si>
    <t>Sorbonne Universite; Centre National de la Recherche Scientifique (CNRS); Commonwealth Scientific &amp; Industrial Research Organisation (CSIRO)</t>
  </si>
  <si>
    <t>Metzl, N (corresponding author), CNRS, UPMC, Phys &amp; Chim Marines Lab, Case 134,4 Pl Jussieu, F-75252 Paris 05, France.</t>
  </si>
  <si>
    <t>Tilbrook, Bronte/W-4007-2019</t>
  </si>
  <si>
    <t>Tilbrook, Bronte/0000-0001-9385-3827; metzl, nicolas/0000-0002-1165-1074</t>
  </si>
  <si>
    <t>MUNKSGAARD INT PUBL LTD</t>
  </si>
  <si>
    <t>COPENHAGEN</t>
  </si>
  <si>
    <t>35 NORRE SOGADE, PO BOX 2148, DK-1016 COPENHAGEN, DENMARK</t>
  </si>
  <si>
    <t>0280-6509</t>
  </si>
  <si>
    <t>TELLUS B</t>
  </si>
  <si>
    <t>Tellus Ser. B-Chem. Phys. Meteorol.</t>
  </si>
  <si>
    <t>10.1034/j.1600-0889.1999.t01-3-00008.x</t>
  </si>
  <si>
    <t>242WN</t>
  </si>
  <si>
    <t>WOS:000082964800008</t>
  </si>
  <si>
    <t>Noone, D; Turner, J; Mulvaney, R</t>
  </si>
  <si>
    <t>Atmospheric signals and characteristics of accumulation in Dronning Maud Land, Antarctica</t>
  </si>
  <si>
    <t>LAST GLACIAL MAXIMUM; SOUTHERN-HEMISPHERE; TEMPORAL VARIABILITY; SURFACE TEMPERATURE; SNOW ACCUMULATION; DEUTERIUM EXCESS; FIRN CORES; ICE CORES; PRECIPITATION; OSCILLATION</t>
  </si>
  <si>
    <t>With the planned European Programme for Ice Goring in Antarctica in Dronning Maud Land it is important to understand the processes leading to accumulation for successful interpretation of core data. Because it is impractical to obtain precipitation observations with a large spatial coverage and on a daily timescale in Antarctica, model-generated precipitation must be considered for a comprehensive study of the region. However, without observational data it is difficult to check the veracity of the model data, Precipitation data from the European Centre for Medium-Range Weather Forecasts reanalysis project shows that 89% of days have low (under 0.2 mm) precipitation resulting in 31 % of the annual total. At the other extreme, less than 1% of days have high (over 1 mm) precipitation, which results in 20% of the annual total. It is reasoned that the changes in the frequency of extreme precipitation events could alter the trace record in ice cores and lead to a bias in reconstructed paleotemperatures. Case studies reveal that high-precipitation days have amplified upper level planetary waves directing warm moist air to the region. Associated with this is the presence of a cyclone in or at the northeast extreme of the Weddell Sea. Commonly, the longwaves provide a blocked anticyclone in the South Atlantic to form a dipolar channeling of the air mass. The accumulation variability is linked to the variability in the intensity of these storms and their tracks, It is seen that this is related to the El Nino-Southern Oscillation and a semiannual cycle.</t>
  </si>
  <si>
    <t>Natl Environm Res Council, British Antarctic Survey, Cambridge, England</t>
  </si>
  <si>
    <t>Univ Melbourne, Sch Earth Sci, Parkville, Vic 3052, Australia.</t>
  </si>
  <si>
    <t>Mulvaney, Robert/K-3929-2012</t>
  </si>
  <si>
    <t>Mulvaney, Robert/0000-0002-5372-8148; NOONE, DAVID/0000-0002-8642-7843; Turner, John/0000-0002-6111-5122</t>
  </si>
  <si>
    <t>AUG 27</t>
  </si>
  <si>
    <t>D16</t>
  </si>
  <si>
    <t>10.1029/1999JD900376</t>
  </si>
  <si>
    <t>230CY</t>
  </si>
  <si>
    <t>WOS:000082235300014</t>
  </si>
  <si>
    <t>Lengagne, T; Aubin, T; Lauga, J; Jouventin, P</t>
  </si>
  <si>
    <t>How do king penguins (Aptenodytes patagonicus) apply the mathematical theory of information to communicate in windy conditions?</t>
  </si>
  <si>
    <t>PROCEEDINGS OF THE ROYAL SOCIETY B-BIOLOGICAL SCIENCES</t>
  </si>
  <si>
    <t>individual recognition; penguins; communication in windy conditions</t>
  </si>
  <si>
    <t>TEMPERATURE-GRADIENTS; SOUND-PROPAGATION; SONG; SELECTION</t>
  </si>
  <si>
    <t>In the king penguin (Atenodytes patagonicus), both pair members alternate in incubating and rearing their chick. Mates can recognize each other among thousands of other birds in the hubbub of the colony using only acoustic signalling-the display call. Large penguin colonies are found on sub-Antarctic islands where strong winds blow throughout the year. We have shown by experiments under natural conditions that the level of background noise increases in windy conditions and thus leads to a diminution of the signal-to-noise ratio. Moreover the emergence level of the signal revealed by entropy calculation is statistically weaker in windy conditions. To achieve breeding success, birds must continue communicating in spite of the significant decrease in the total amount of information that can be transmitted in windy situations. For the first time, to our knowledge, eve have shown that a bird species takes into account the constraints imposed by wind on their acoustic communication. In windy conditions, birds try to maintain the efficiency of communication by increasing both the number of calls emitted and the number of syllables per call. This result conforms with predictions from the mathematical theory of communication: increased redundancy in a signal improves the probability of receiving a message in a noisy channel.</t>
  </si>
  <si>
    <t>Univ Paris Sud, CNRS, NAM, URA 1491, F-91400 Orsay, France; Univ Toulouse 3, Lab Ecol Terr, UMR 5552, F-31062 Toulouse, France; CEFE, CNRS, UPR 905679360, F-34293 Montpellier, France</t>
  </si>
  <si>
    <t>Centre National de la Recherche Scientifique (CNRS); Universite Paris Saclay; Universite Paris Cite; Universite de Toulouse; Universite Toulouse III - Paul Sabatier; Universite PSL; Ecole Pratique des Hautes Etudes (EPHE); Institut Agro; Montpellier SupAgro; CIRAD; Centre National de la Recherche Scientifique (CNRS); Institut de Recherche pour le Developpement (IRD); Universite Paul-Valery; Universite de Montpellier</t>
  </si>
  <si>
    <t>Lengagne, T (corresponding author), Univ Paris Sud, CNRS, NAM, URA 1491, F-91400 Orsay, France.</t>
  </si>
  <si>
    <t>thierry.lengagne@ibaic.u-psud.fr</t>
  </si>
  <si>
    <t>ROYAL SOC</t>
  </si>
  <si>
    <t>6-9 CARLTON HOUSE TERRACE, LONDON SW1Y 5AG, ENGLAND</t>
  </si>
  <si>
    <t>0962-8452</t>
  </si>
  <si>
    <t>P ROY SOC B-BIOL SCI</t>
  </si>
  <si>
    <t>Proc. R. Soc. B-Biol. Sci.</t>
  </si>
  <si>
    <t>AUG 22</t>
  </si>
  <si>
    <t>10.1098/rspb.1999.0824</t>
  </si>
  <si>
    <t>Biology; Ecology; Evolutionary Biology</t>
  </si>
  <si>
    <t>Life Sciences &amp; Biomedicine - Other Topics; Environmental Sciences &amp; Ecology; Evolutionary Biology</t>
  </si>
  <si>
    <t>228CF</t>
  </si>
  <si>
    <t>WOS:000082118200003</t>
  </si>
  <si>
    <t>Murray, AE; Wu, KY; Moyer, CL; Karl, DM; DeLong, EF</t>
  </si>
  <si>
    <t>Evidence for circumpolar distribution of planktonic Archaea in the Southern Ocean</t>
  </si>
  <si>
    <t>planktonic archaea; SSU rRNA hybridization; Antarctica</t>
  </si>
  <si>
    <t>TARGETED OLIGONUCLEOTIDE PROBES; RNA HYBRIDIZATION PROBES; MICROBIAL-POPULATIONS; PHYLOGENETIC ANALYSIS; COASTAL WATERS; DRAKE PASSAGE; DEEP-SEA; ANTARCTICA; SEQUENCES; DIVERSITY</t>
  </si>
  <si>
    <t>Surveys using rRNA-targeted probes specific for the 3 domains of life (Eucarya, Archaea, and Bacteria) indicated the presence, and at times high abundance, of archaeal rRNA in a variety of water masses surrounding Antarctica. Hybridization signals of archaeal rRNA contributed significantly to that of total picoplankton rRNA both north and south of the Polar Front in Drake Passage. Late winter surface water populations collected around the South Shetland Islands also yielded relatively high archaeal rRNA hybridization signals, approaching 10% or greater of the total rRNA. Summer samples collected in the western region of the Antarctic Peninsula and at McMurdo Sound in the Ross Sea region of Antarctica yielded lower amounts of archaeal rRNA in the surface waters, and higher levels of archaeal rRNA at depth (150 to 500 m). The hybridization data were compared to biological, chemical, and hydrographic information when possible. In surface waters, archaeal rRNA and chlorophyll a varied inversely. The data presented here further supports the hypothesis that planktonic archaea are a common, widespread and likely ecologically important component of Antarctic picoplankton assemblages. The presence of these archaea in circumpolar deep water suggests a conduit for their circumpolar transport around Antarctica via the Antarctic Circumpolar Current, as well as their export to the deep sea, or to intermediate waters of the South Atlantic via mixing at the polar front.</t>
  </si>
  <si>
    <t>Univ Calif Santa Barbara, Inst Marine Sci, Santa Barbara, CA 93106 USA; Western Washington Univ, Dept Biol, Bellingham, WA 98225 USA; Univ Hawaii, Sch Ocean &amp; Earth Sci &amp; Technol, Dept Oceanog, Honolulu, HI 96822 USA</t>
  </si>
  <si>
    <t>University of California System; University of California Santa Barbara; Western Washington University; University of Hawaii System</t>
  </si>
  <si>
    <t>DeLong, EF (corresponding author), Monterey Bay Aquarium Res Inst, POB 628, Moss Landing, CA 95039 USA.</t>
  </si>
  <si>
    <t>AUG 20</t>
  </si>
  <si>
    <t>10.3354/ame018263</t>
  </si>
  <si>
    <t>228EQ</t>
  </si>
  <si>
    <t>WOS:000082124500006</t>
  </si>
  <si>
    <t>Simon, M; Glöckner, FO; Amann, R</t>
  </si>
  <si>
    <t>Different community structure and temperature optima of heterotrophic picoplankton in various regions of the Southern Ocean</t>
  </si>
  <si>
    <t>heterotrophic picoplankton; psychrophilic bacteria; temperature; in situ hybridization; oligonucleotide probes; Southern Ocean</t>
  </si>
  <si>
    <t>IN-SITU HYBRIDIZATION; HIGH-MOUNTAIN LAKE; PSYCHROPHILIC BACTERIA; COASTAL WATERS; WEDDELL SEA; PLANKTONIC BACTERIA; PROTEIN-SYNTHESIS; AUSTRAL AUTUMN; SPRING BLOOM; GROWTH-RATE</t>
  </si>
  <si>
    <t>The temperature control of the growth of heterotrophic picoplankton was studied in the Southern Ocean along a transect between the Polar Front (49 degrees S) and the shelf ice edge at 70 degrees S in the austral summer. Growth was measured by thymidine and leucine incorporation applying the dual-label approach. Psychrotolerant or mesophilic communities with a growth optimum of &gt;18 degrees C were present in surface waters at the Polar Front at an in situ temperature of 4 to 5 degrees C. Further south in surface waters of the Antarctic circumpolar current (ACC), in the marginal ice zone and at the shelf ice edge, psychrophilic communities with growth optima of 11 and 4 to 8 degrees C, respectively, were present. Growth at the ambient temperature of ca 0 degrees C or slightly below was reduced. By in situ hybridization with fluorescent rRNA-targeted oligonucleotide probes, between 63 and 96% of all DAPI-stainable picoplankton cells were identified as Bacteria whereas Archaea were never detected. Cells belonging to the Cytophaga/Flavobacterium cluster were most abundant from all bacterial groups tested (alpha-, beta-, and gamma-subclass of Proteobacteria, Cytophaga/Flavobacterium cluster) and comprised 20 % of DAPI counts at the Polar Front and 40 % in the ACC. In the marginal ice zone during a bloom of Phaeocystis sp. they even comprised 72%. gamma-subclass proteobacteria accounted for &lt;1% of DAPI counts at the Polar Front and for 7 to 9% further south. alpha-subclass proteobacteria never exceeded 1% and beta-subclass proteobacteria were not detected at all. The results indicate that different communities of heterotrophic picoplankton established along the transect from the Polar Front south to the marginal ice zone as shown by the reduction of the temperature optima and coinciding with a change in the community structure and a pronounced dominance of bacteria of the Cytophaga/Flavobacterium cluster in the psychrophilic communities.</t>
  </si>
  <si>
    <t>Carl von Ossietzky Univ Oldenburg, Inst Chem &amp; Biol Marine Environm, D-26111 Oldenburg, Germany; Max Planck Inst Marine Microbiol, D-28359 Bremen, Germany</t>
  </si>
  <si>
    <t>Carl von Ossietzky Universitat Oldenburg; Max Planck Society</t>
  </si>
  <si>
    <t>Simon, M (corresponding author), Carl von Ossietzky Univ Oldenburg, Inst Chem &amp; Biol Marine Environm, POB 2503, D-26111 Oldenburg, Germany.</t>
  </si>
  <si>
    <t>m.simon@icbm.de</t>
  </si>
  <si>
    <t>Amann, Rudolf/C-6534-2014</t>
  </si>
  <si>
    <t>Amann, Rudolf/0000-0002-0846-7372</t>
  </si>
  <si>
    <t>10.3354/ame018275</t>
  </si>
  <si>
    <t>WOS:000082124500007</t>
  </si>
  <si>
    <t>Douglass, AR; Kawa, SR</t>
  </si>
  <si>
    <t>Contrast between 1992 and 1997 high-latitude spring Halogen Occultation Experiment observations of lower stratospheric HCl</t>
  </si>
  <si>
    <t>ARCTIC POLAR VORTEX; ETALON SPECTROMETER CLAES; CHEMICAL OZONE DEPLETION; INTERHEMISPHERIC DIFFERENCES; 3-DIMENSIONAL SIMULATION; REACTIVE NITROGEN; WINTER; CHLORINE; UARS; HNO3</t>
  </si>
  <si>
    <t>HCl measurements from the Halogen Occultation Experiment (HALOE) in the northern hemisphere during mid-May 1997 revealed vortex fragments in which the chlorine reservoir partitioning was strongly pushed toward HCl (similar to 90% HCl, similar to 10% ClONO2), similar to partitioning previously observed in the Antarctic vortex region. In contrast, observations of ClONO2 and HCl in the northern polar spring, 1992, and in other years, show these species established the balance typical for gas phase photochemical reactions in this region (similar to 60% HCl, similar to 40% ClONO2). Annually, chlorine reservoirs in the winter lower stratosphere polar vortex are converted to chlorine radicals via heterogeneous reactions on particle surfaces at very cold temperatures (less than about 200 K). As temperatures warm in spring, the heterogeneous processes become insignificant compared with gas phase reactions, and the chlorine reservoirs are reformed. Measurements through the northern winter/spring in 1992 show rapid formation of ClONO2, followed by steady loss of ClONO2 and increasing HCl. Although ClONO2 measurements are not available for 1997, the HCl increase in 1997 is observed to be much more rapid, and the eventual HCl mixing ratio is about 50% greater than that of 1992. The observations are examined through comparison with the Goddard three-dimensional chemistry and transport model. This model utilizes winds and temperatures from the Goddard Earth Observing System Data Assimilation System and a complete integration scheme for stratospheric photochemistry. Analysis of the evolution of HCl and ClONO2 shows that the observed difference in the overall rate of HCl formation is explained by the sensitivity of the gas-phase chemistry to the ozone mixing ratio and the temperature. The results show that the model accurately simulates HCl and ClONO2 evolution during these two winters. Model validity is further supported by comparisons with O-3 and reactive nitrogen species NO and NO2. This analysis provides a sensitive test of the lower stratospheric chlorine photochemistry, particularly because the analysis considers constituent evolution at a time when the HCl and ClONO2 are far from a photochemical stationary state.</t>
  </si>
  <si>
    <t>NASA, Goddard Space Flight Ctr, Atmospher Chem &amp; Dynam Branch, Greenbelt, MD 20771 USA</t>
  </si>
  <si>
    <t>National Aeronautics &amp; Space Administration (NASA); NASA Goddard Space Flight Center</t>
  </si>
  <si>
    <t>Douglass, AR (corresponding author), NASA, Goddard Space Flight Ctr, Atmospher Chem &amp; Dynam Branch, Greenbelt, MD 20771 USA.</t>
  </si>
  <si>
    <t>douglass@persephone.gsfc.nasa.gov</t>
  </si>
  <si>
    <t>Kawa, Stephan R/E-9040-2012; Douglass, Anne R/D-4655-2012</t>
  </si>
  <si>
    <t>D15</t>
  </si>
  <si>
    <t>10.1029/1999JD900281</t>
  </si>
  <si>
    <t>228GJ</t>
  </si>
  <si>
    <t>WOS:000082128500018</t>
  </si>
  <si>
    <t>Woyke, T; Müller, R; Stroh, F; McKenna, DS; Engel, A; Margitan, JJ; Rex, M; Carslaw, KS</t>
  </si>
  <si>
    <t>A test of our understanding of the ozone chemistry in the Arctic polar vortex based on in situ measurements of ClO, BrO, and O3 in the 1994/1995 winter</t>
  </si>
  <si>
    <t>VISIBLE ABSORPTION-SPECTRA; ANTARCTIC OZONE; 3-DIMENSIONAL MODEL; STRATOSPHERIC OZONE; INSITU OBSERVATIONS; ATMOS MEASUREMENTS; REACTIVE NITROGEN; 1994-95 WINTER; DEPLETION; CHLORINE</t>
  </si>
  <si>
    <t>We present an analysis of in situ measurements of ClO, BrO, O-3, and long-lived tracers obtained on a balloon flight in the Arctic polar vortex launched from Kiruna, Sweden, 68 degrees N, on February 3, 1995. Using the method of tracer correlations, we deduce that the air masses sampled at an altitude of 21 km (480 K potential temperature), where a layer of enhanced ClO mixing ratios of up to 1150 parts per trillion by volume was observed, experienced a cumulative chemical ozone loss of 1.0+/-0.3 ppmv between late November 1994 and early February 1995, This estimate of chemical ozone loss can be confirmed using independent data sets and independent methods. Calculations using a trajectory box model show that the simulations underestimate the cumulative ozone loss by approximately a factor of 2, although observed ClO and BrO mixing ratios are well reproduced by the model. Employing additional simulations of ozone loss rates for idealized conditions, we conclude that the known chlorine and bromine catalytic cycles destroying odd oxygen with the known rate constants and absorption cross sections do not quantitatively account for the early winter ozone losses infered for air masses observed at 21 km.</t>
  </si>
  <si>
    <t>Forschungszentrum Julich, Inst Stratosphar Chem, D-52425 Julich, Germany; Goethe Univ Frankfurt, Inst Meteorol &amp; Geophys, D-60325 Frankfurt, Germany; CALTECH, Jet Prop Lab, Pasadena, CA 91109 USA; Alfred Wegener Inst Polar &amp; Marine Res, Potsdam, Germany; Max Planck Inst Chem, D-55128 Mainz, Germany</t>
  </si>
  <si>
    <t>Helmholtz Association; Research Center Julich; Goethe University Frankfurt; National Aeronautics &amp; Space Administration (NASA); NASA Jet Propulsion Laboratory (JPL); California Institute of Technology; Helmholtz Association; Alfred Wegener Institute, Helmholtz Centre for Polar &amp; Marine Research; Max Planck Society</t>
  </si>
  <si>
    <t>Woyke, T (corresponding author), Forschungszentrum Julich, Inst Stratosphar Chem, Postfach 1913, D-52425 Julich, Germany.</t>
  </si>
  <si>
    <t>t.woyke@fz-juelich.de</t>
  </si>
  <si>
    <t>Müller, Rolf/ABA-8213-2021; Rex, Markus/A-6054-2009; Carslaw, Ken S/C-8514-2009; McKenna, Daniel/E-7806-2014; Engel, Andreas/E-3100-2014; Stroh, Fred/A-6505-2009</t>
  </si>
  <si>
    <t>Müller, Rolf/0000-0002-5024-9977; Rex, Markus/0000-0001-7847-8221; Carslaw, Ken S/0000-0002-6800-154X; McKenna, Daniel/0000-0002-4360-4782; Engel, Andreas/0000-0003-0557-3935; Stroh, Fred/0000-0002-4492-2977</t>
  </si>
  <si>
    <t>10.1029/1999JD900287</t>
  </si>
  <si>
    <t>WOS:000082128500019</t>
  </si>
  <si>
    <t>Miller, HL; Sanders, RW; Solomon, S</t>
  </si>
  <si>
    <t>Observations and interpretation of column OClO seasonal cycles at two polar sites</t>
  </si>
  <si>
    <t>NEAR-ULTRAVIOLET SPECTROSCOPY; POOR QUANTITATIVE INDICATOR; ANTARCTIC OZONE HOLE; MCMURDO-STATION; STRATOSPHERIC OCLO; CHLORINE ACTIVATION; VISIBLE SPECTROSCOPY; VERTICAL STRUCTURE; VOLCANIC AEROSOLS; NO2</t>
  </si>
  <si>
    <t>OClO and NO2 slant column abundances have been measured by ground-based spectrographs in both the Arctic (Kangerlussuaq, Greenland, at 67.0 degrees N, 51.0 degrees W) and the Antarctic (McMurdo Station, Antarctica, at 77.8 degrees S, 166.6 degrees E). A key process for stratospheric ozone depletion is the activation of chlorine by heterogeneous reactions. Sunlight is also an essential ingredient in the catalytic cycles that destroy ozone. This data set illustrates the seasonal timing of autumnal chlorine activation and the springtime disappearance of active chlorine at two polar sites. As such, the data provide constraints for model calculations. In the Northern Hemisphere during the winters of 1994-1995 and 1995-1996, the OClO data show the seasonal onset of stratospheric chlorine activation in mid-December and seasonal disappearance of active chlorine in mid-March. The data also show the seasonal decline and recovery (in mid-March) of nitrogen dioxide levels. In the Southern Hemisphere during the winters of 1991, 1993, and 1996, similar chemical processing occurs during late April to early May and late September to early October. The role of several factors in determining the seasonal cycles of column OClO are probed through model studies. Observed cold temperatures and reactions on liquid sulfate aerosols appear to play a key role in producing the timing of the observed OClO seasonal cycle in the Northern Hemisphere.</t>
  </si>
  <si>
    <t>NOAA, Aeron Lab, Boulder, CO 80303 USA; Univ Colorado, Cooperat Inst Res Environm Sci, Boulder, CO 80309 USA</t>
  </si>
  <si>
    <t>Miller, HL (corresponding author), Forschungszentrum Julich, Inst Chem &amp; Dynam Geosphare, Inst Stratosphar Chem 1, D-52425 Julich, Germany.</t>
  </si>
  <si>
    <t>h.l.miller@fz-juelich.de; solomon@al.noaa.gov</t>
  </si>
  <si>
    <t>Miller, Henry/D-7628-2013</t>
  </si>
  <si>
    <t>Miller, Henry/0000-0002-7155-8314</t>
  </si>
  <si>
    <t>10.1029/1999JD900301</t>
  </si>
  <si>
    <t>WOS:000082128500020</t>
  </si>
  <si>
    <t>Manney, GL; Michelsen, HA; Santee, ML; Gunson, MR; Irion, FW; Roche, AE; Livesey, NJ</t>
  </si>
  <si>
    <t>Polar vortex dynamics during spring and fall diagnosed using trace gas observations from the Atmospheric Trace Molecule Spectroscopy instrument</t>
  </si>
  <si>
    <t>SOLAR OCCULTATION SPECTRA; LOW-OZONE POCKETS; ATMOS MEASUREMENTS; WATER-VAPOR; ATMOS/ATLAS-3 MEASUREMENTS; LOWER STRATOSPHERE; NOVEMBER 1994; INTERANNUAL VARIABILITY; TRAJECTORY CALCULATIONS; ANTARCTIC STRATOSPHERE</t>
  </si>
  <si>
    <t>Trace gases measured by the Atmospheric Trace Molecule Spectroscopy (ATMOS) instrument during three Atmospheric Laboratory for Applications and Science (ATLAS) space-shuttle missions, in March/April 1992 (AT-1), April 1993 (AT-2), and November 1994 (AT-3) have been mapped into equivalent latitude/potential temperature (EqL/theta) coordinates. The asymmetry of the spring vortices results in coverage of subtropical to polar EqLs, EqL/theta fields of long-lived tracers in spring in both hemispheres show the net effects of descent at high EqL throughout the winter, reflecting strong descent in the upper stratosphere, decreasing descent at lower altitudes, and evidence of greater descent at the edge of the lower stratospheric vortex than in the vortex center; these results are consistent with trajectory calculations examining the history of the air measured by ATMOS in the month prior to each mission. EqL/theta tracer fields, the derived fields CH4-CH4* (CH4* is the expected CH4 calculated from a prescribed relationship with N2O for fall) and NOy-NOy* (analogous to CH4*), and parcel histories all indicate regions of strong mixing in the 1994 Southern Hemisphere (SH) spring vortex above 500 K, with the strongest mixing confined to the vortex edge region between 500 and 700 K, and mixing throughout the Northern Hemisphere (NH) spring vortex in 1993 below about 850 K. Parcel histories indicate mixing of extravortex air with air near the vortex edge below 500 K in the SH but not with air in the vortex core; they show extravortex air mixing well into the vortex above similar to 450 K in the NH and in to the vortex edge region below. The effects of severe denitrification are apparent in EqL/theta HNO3 in the SH lower stratospheric spring vortex. The morphology of HNO3 in the Arctic spring lower stratospheric vortex is consistent with the effects of descent. EqL/theta fields of ATMOS NOy-NOy* show decreases consistent with the effects of mixing throughout the NH lower stratospheric vortex. The EqL/theta-mapped ATMOS data thus indicate no significant denitrification during the 1992-1993 NH winter. Examination of H2O+2CH(4) shows that dehydration in SH spring 1994 extended up to similar to 600 K; it also suggests the possibility of a small amount of dehydration in the NH 1993 spring vortex below similar to 465 K. Ozone depletion is evident in the spring vortices in both hemispheres. Differences in autumn EqL/theta tracer fields between the missions reflect the fact that each succeeding mission took place similar to 2 weeks later in the season, when the vortex had developed further. There was greater average descent and greater isolation of air in the developing vortex during each succeeding mission, consistent with progressively larger downward excursions of long-lived tracer contours observed in the upper stratosphere at high EqL.</t>
  </si>
  <si>
    <t>CALTECH, Jet Prop Lab, Pasadena, CA 91109 USA; Atmospher &amp; Environm Res Inc, San Ramon, CA 94583 USA; Lockheed Martin Adv Technol Ctr, Palo Alto, CA 94304 USA</t>
  </si>
  <si>
    <t>National Aeronautics &amp; Space Administration (NASA); NASA Jet Propulsion Laboratory (JPL); California Institute of Technology; Atmospheric &amp; Environmental Research; Lockheed Martin</t>
  </si>
  <si>
    <t>Manney, GL (corresponding author), CALTECH, Jet Prop Lab, Mail Stop 183-701, Pasadena, CA 91109 USA.</t>
  </si>
  <si>
    <t>manney@mls.jpl.nasa.gov</t>
  </si>
  <si>
    <t>Livesey, Nathaniel/AGQ-7257-2022; Manney, Gloria/JED-7207-2023; Santee, MIchelle/R-5762-2019</t>
  </si>
  <si>
    <t>10.1029/1999JD900317</t>
  </si>
  <si>
    <t>WOS:000082128500024</t>
  </si>
  <si>
    <t>Donlon, CJ; Nightingale, TJ; Sheasby, T; Turner, J; Robinson, IS; Emery, WJ</t>
  </si>
  <si>
    <t>Implications of the oceanic thermal skin temperature deviation at high wind speed</t>
  </si>
  <si>
    <t>RADIOMETER</t>
  </si>
  <si>
    <t>Extensive oceanographic and atmospheric observations obtained during three independent experiments in the Atlantic Ocean are used to demonstrate the relationship between wind speed and the temperature deviation Delta T, which is defined as the sea surface skin temperature (SSST) minus the subsurface bulk sea surface temperature (BSST). At wind speeds &lt; 6 m s(-1), the variability of Delta T increases because thermal stratification complicates the measurement and interpretation of Delta T: extreme Delta T magnitudes of &gt; 1.5 K are common during periods of high insolation. The variability of Delta T at night is reduced and extreme cool skin temperatures of &lt; -0.5 K are recorded. In all cases, at wind speeds &gt; 6 m s(-1), the variability of Delta T is diminished and the mean value of Delta T approximates a cool bias of -0.14 K +/- 0.1 K. We conclude that BSST measurements obtained at wind speeds &gt; 6 m s(-1), when corrected for a small (- 0.14 K) cool bias, are representative of the SSST and can be used with confidence to validate satellite derived SSST. When the wind speed is &lt; 6 m s(-1) and the magnitude of Delta T is high, in situ radiometric SSST measurements are mandatory to validate satellite derived SSST.</t>
  </si>
  <si>
    <t>Commiss European Communities, Joint Res Ctr, Space Applicat Inst, Marine Environm Unit, I-21020 Ispra, VA, Italy; Rutherford Appleton Lab, Dept Space Sci, Didcot OX11 0QX, Oxon, England; Univ Leicester, Dept Earth Observat Sci, Leicester LE1 7RH, Leics, England; British Antarctic Survey, Ice &amp; Climate Div, Cambridge CB3 0ET, England; Univ Southampton, Sch Ocean &amp; Earth Sci, Southampton SO14 3ZH, Hants, England; Univ Colorado, Colorado Ctr Astrodynam Res, Boulder, CO 80309 USA</t>
  </si>
  <si>
    <t>European Commission Joint Research Centre; EC JRC ISPRA Site; UK Research &amp; Innovation (UKRI); Science &amp; Technology Facilities Council (STFC); STFC Rutherford Appleton Laboratory; University of Leicester; UK Research &amp; Innovation (UKRI); Natural Environment Research Council (NERC); NERC British Antarctic Survey; NERC National Oceanography Centre; University of Southampton; University of Colorado System; University of Colorado Boulder</t>
  </si>
  <si>
    <t>Donlon, CJ (corresponding author), Commiss European Communities, Joint Res Ctr, Space Applicat Inst, Marine Environm Unit, TP690, I-21020 Ispra, VA, Italy.</t>
  </si>
  <si>
    <t>Emery, William/L-6179-2017</t>
  </si>
  <si>
    <t>Emery, William/0000-0002-7598-9082; Turner, John/0000-0002-6111-5122</t>
  </si>
  <si>
    <t>AUG 15</t>
  </si>
  <si>
    <t>10.1029/1999GL900547</t>
  </si>
  <si>
    <t>226GD</t>
  </si>
  <si>
    <t>WOS:000082011200025</t>
  </si>
  <si>
    <t>Watkins, NW; Chapman, SC; Dendy, RO; Rowlands, G</t>
  </si>
  <si>
    <t>Robustness of collective behaviour in strongly driven avalanche models: magnetospheric implications</t>
  </si>
  <si>
    <t>CRITICALITY; DYNAMICS; SYSTEMS</t>
  </si>
  <si>
    <t>The hypothesis of self-organised criticality (SOC) predicts that certain open dissipative systems evolve to a critical state where all energy release statistics display power law distributions for event occurrence, size and duration. This has motivated sandpile simulations of magnetospheric energy confinement and release events (avalanches) I previous examples of which have taken the limit where energy inflow (fuelling) is slow relative to dissipation, and either uniform or random. However the magnetospheric system has both slow and fast periods mixed together in observations, and naturally modulated fuelling. We have developed an avalanche model with variable, modulated fuelling rate. The power law form for the distribution of energy release events is the least ambiguous current indicator of SOC; we show that this is preserved for the large avalanches in such a system under both constant and varying loading and so such systems are remarkably efficient at eliminating small scale information about their fuelling.</t>
  </si>
  <si>
    <t>British Antarctic Survey, UASD, Cambridge CB3 0ET, England; Univ Warwick, Coventry CV4 7AL, W Midlands, England; UKAEA Euratom Fus Assoc, Abingdon OX14 3DB, Oxon, England</t>
  </si>
  <si>
    <t>UK Research &amp; Innovation (UKRI); Natural Environment Research Council (NERC); NERC British Antarctic Survey; University of Warwick; UK Atomic Energy Authority</t>
  </si>
  <si>
    <t>Watkins, NW (corresponding author), British Antarctic Survey, UASD, High Cross, Cambridge CB3 0ET, England.</t>
  </si>
  <si>
    <t>Chapman, Sandra/C-2216-2008; Watkins, Nicholas Wynn/C-5140-2008; Watkins, Nick/GPX-7439-2022; Dendy, Richard O/A-4533-2009</t>
  </si>
  <si>
    <t>Chapman, Sandra/0000-0003-0053-1584; Watkins, Nicholas Wynn/0000-0003-4484-6588; Watkins, Nick/0000-0003-4484-6588; Dendy, Richard O/0009-0002-0017-9103</t>
  </si>
  <si>
    <t>10.1029/1999GL900586</t>
  </si>
  <si>
    <t>WOS:000082011200053</t>
  </si>
  <si>
    <t>Trull, TW; Kurz, MD</t>
  </si>
  <si>
    <t>Isotopic fractionation accompanying helium diffusion in basaltic glass</t>
  </si>
  <si>
    <t>JOURNAL OF MOLECULAR STRUCTURE</t>
  </si>
  <si>
    <t>helium diffusion in basaltic glass; Arrhenius temperature dependence; widely spaced vibrational energy levels</t>
  </si>
  <si>
    <t>OLIVINE</t>
  </si>
  <si>
    <t>The relative rates of (3)He and (4)He diffusion in basaltic glass set limits on the extent to which diffusive loss can alter initial magmatic (3)He/(4)He ratios. Typically a value of 1.15 for the isotopic diffusivity ratio, D(3)He/D(4)He, has been assumed, because this corresponds to the inverse square-root of the masses ratio, (m(4)/m(3))(1/2). Measurements of the isotopic compositions of sequential releases of He from mid-ocean-ridge and seamount basalt glasses heated in-vacuo reveal this to be an overestimate. The observed isotopic diffusivity ratio ranges from 1.06 at room temperature to 1.10 at 500 degrees C. Assuming Arrhenius temperature dependence and extrapolating suggests that insignificant He isotopic fractionation will occur at Seafloor temperatures (D(3)He/D(4)He = 1.02 +/- 0.03), with more pronounced fractionation at magmatic temperatures (e.g. 1.12 +/- 0.02 at 1100 degrees C). These low values mean that significantly larger He losses are required to alter initial 3He/4He ratios than was previously assumed, and these larger losses require much longer loss times. For example, lowering an initial (3)He/(4)He ratio by 10% requires 65% gas loss for D(3)He/D(4)He equal to 1.15, but 80% loss for D(3)He/D(4)He of 1.08, which requires twice as long to occur. Consideration of solid-state diffusion theory, and comparison to cation and other noble gas diffusivities, suggests that the low values and positive temperature dependence of the D(3)He/D(4)He ratio result from the relatively widely spaced vibrational energy levels of the He atoms in the silicate glass structure. Temperature dependent diffusive He isotopic fractionation is likely in other geologic materials. (C) 1999 Elsevier Science B.V. All rights reserved.</t>
  </si>
  <si>
    <t>Woods Hole Oceanog Inst, Dept Marine Chem &amp; Geochem, Woods Hole, MA 02543 USA; Univ Tasmania, Antarctic Cooperat Res Ctr, Hobart, Tas 7001, Australia</t>
  </si>
  <si>
    <t>Woods Hole Oceanographic Institution; University of Tasmania</t>
  </si>
  <si>
    <t>Trull, TW (corresponding author), Woods Hole Oceanog Inst, Dept Marine Chem &amp; Geochem, Woods Hole, MA 02543 USA.</t>
  </si>
  <si>
    <t>tom.trull@utas.edu.au</t>
  </si>
  <si>
    <t>Trull, Tom W/B-7028-2014</t>
  </si>
  <si>
    <t>Kurz, Mark/0000-0003-1745-2356</t>
  </si>
  <si>
    <t>0022-2860</t>
  </si>
  <si>
    <t>J MOL STRUCT</t>
  </si>
  <si>
    <t>J. Mol. Struct.</t>
  </si>
  <si>
    <t>AUG 10</t>
  </si>
  <si>
    <t>SI</t>
  </si>
  <si>
    <t>10.1016/S0022-2860(99)00057-5</t>
  </si>
  <si>
    <t>229KE</t>
  </si>
  <si>
    <t>WOS:000082193100049</t>
  </si>
  <si>
    <t>Wang, J; Koel, BE</t>
  </si>
  <si>
    <t>Reactions of N2O4 with ice at low temperatures on the Au(111) surface</t>
  </si>
  <si>
    <t>SURFACE SCIENCE</t>
  </si>
  <si>
    <t>amorphous thin films; catalysis; chemisorption; molecule-solid reactions; nitrogen oxides; physical adsorption; surface chemical reaction; thermal desorption spectroscopy; vibrations of adsorbed molecules</t>
  </si>
  <si>
    <t>NITROGEN-DIOXIDE; ANTARCTIC OZONE; HIGH-PRESSURE; NITRIC-ACID; CHEMISTRY; ADSORPTION; NO2; SPECTROSCOPY; SPECTRA; OXYGEN</t>
  </si>
  <si>
    <t>Reactions of N2O4, formed by condensation of NO2 gas, with adsorbed water films as models for ice surfaces were studied on a Au(111) substrate at low temperatures under ultrahigh vacuum (UHV) conditions. Two thermal reaction paths were found, primarily by using infrared reflection-absorption spectroscopy (IRAS) and temperature programmed desorption (TPD) techniques. One path evolved gas phase HONO (nitrous acid) and HNO3 (nitric acid) below 150 K, independent of both the crystallinity of the ice film and the exposure of NO2. In contrast, another reaction pathway depended strongly on these variables and was conveniently monitored by the formation of oxygen adatoms on the Au(111) substrate surface. The latter reactions only occurred following multilayer adsorption of NO2 (present as N2O4) and only if the adsorption was on amorphous ice clusters and not crystalline ice. The extent of these reactions was proportional to the concentration of 'free-OH' groups on the ice film, indicating that water molecules with only two hydrogen bonds were required to initiate these reactions by strongly hydrating N2O4. Following adsorption of N2O4 multilayers on amorphous ice, we propose that isomerization of O2N-NO2 (D-2h-N2O4) to ONO-NO2 (nitrite-N2O4) occurs upon heating to 130-185 K. Further heating to 200-260 K leads to formation of NO+NO3- (nitrosonium nitrate). This compound is stable on the Au(111) surface up to at least 275 K. Decomposition of NO+NO3- on the Au(111) surface at 275-400 K evolves gas-phase NO2, and possibly NO (nitric oxide), and also produces oxygen adatoms that recombine and thermally desorb as O-2 at about 520 K. These investigations provide new data on reactions of nitrogen oxides and condensed phases of water, which are of general importance for several technologies and improved understanding of atmospheric chemistry. In addition, new details are revealed concerning a novel method for producing oxygen adatoms on Au(111) surfaces under UHV conditions. (C) 1999 Elsevier Science B.V. All rights reserved.</t>
  </si>
  <si>
    <t>Univ So Calif, Dept Chem, Los Angeles, CA 90089 USA</t>
  </si>
  <si>
    <t>University of Southern California</t>
  </si>
  <si>
    <t>Univ So Calif, Dept Chem, Los Angeles, CA 90089 USA.</t>
  </si>
  <si>
    <t>koel@chem1.usc.edu</t>
  </si>
  <si>
    <t>Koel, Bruce E./JAN-6382-2023; Koel, Bruce E./H-3857-2013</t>
  </si>
  <si>
    <t>Koel, Bruce E./0000-0002-0032-4991; Koel, Bruce E./0000-0002-0032-4991</t>
  </si>
  <si>
    <t>0039-6028</t>
  </si>
  <si>
    <t>1879-2758</t>
  </si>
  <si>
    <t>SURF SCI</t>
  </si>
  <si>
    <t>Surf. Sci.</t>
  </si>
  <si>
    <t>10.1016/S0039-6028(99)00457-4</t>
  </si>
  <si>
    <t>Chemistry, Physical; Physics, Condensed Matter</t>
  </si>
  <si>
    <t>233ZC</t>
  </si>
  <si>
    <t>WOS:000082456200020</t>
  </si>
  <si>
    <t>Wolfe, GV; Levasseur, M; Cantin, G; Michaud, S</t>
  </si>
  <si>
    <t>Microbial consumption and production of dimethyl sulfide (DMS) in the Labrador Sea</t>
  </si>
  <si>
    <t>dimethyl sulfide; dimethylsulfoniopropionate; DMSP; DMS; inhibitor technique; consumption kinetics; zooplankton grazing</t>
  </si>
  <si>
    <t>PSYCHROTOLERANT ANTARCTIC BACTERIA; PHAEOCYSTIS SP; ESTUARINE WATERS; COASTAL WATERS; SUBSTRATE CONCENTRATION; MARINE-PHYTOPLANKTON; EMILIANIA-HUXLEYI; DISSOLVED DMSP; SPRING BLOOM; GROWTH-RATE</t>
  </si>
  <si>
    <t>We examined microbial production and consumption of dimethyl sulfide (DMS) in Labrador Sea surface waters ranging in temperature from -0.1 to 6.9 degrees C. 200 nM dimethyl disulfide (DMDS) was used to inhibit DMS consumption. We also studied DMS consumption kinetics by additions of 5 to 50 nM DMS, DMS production from added dimethylsulfoniopropionate (DMSP), and DMS production and consumption during zooplankton grazing. During the cruise, DMS concentrations were low, ranging from 1 to 7 nM throughout the study area, which included a bloom of the colonial haptophyte alga Phaeocystis pouchetii. DMDS additions often revealed rapid DMS production and consumption (up to 5 nM d(-1)) and very rapid turnover (&lt;1 to 3 d), similar to rates found in coastal waters at much higher temperatures. There was no clear effect of temperature on DMS consumption; rather, DMS consumption appeared to be tightly coupled with production. Turnover was most rapid at low DMS concentrations, and DMS consumption was stimulated by additions of DMS, or by increased DMS production from additions of dissolved DMSP. DMDS additions to zooplankton grazing incubations revealed rapid gross DMS production and consumption which were nearly balanced, resulting in net steady-state DMS patterns. DMDS did not affect production or grazing of algal pigments or DMSP. DMS consumption saturated at 18 to 32 nM [DMS] and saturation kinetics were similar within the photic zone, but consumption was near-zero at greater depths. We suggest that DMS consumption Likely saturates more easily than microbial DMS production from DMSP, and this, combined with temperature limitation on the growth of prokaryotic DMS consumers, may lead to the periodic buildup of high DMS concentrations previously observed in polar and subpolar waters.</t>
  </si>
  <si>
    <t>Minist Peches &amp; Oceans, Inst Maurice Lamontagne, Mt Joli, PQ G5L 3A1, Canada</t>
  </si>
  <si>
    <t>Fisheries &amp; Oceans Canada</t>
  </si>
  <si>
    <t>Levasseur, M (corresponding author), Minist Peches &amp; Oceans, Inst Maurice Lamontagne, CP 1000, Mt Joli, PQ G5L 3A1, Canada.</t>
  </si>
  <si>
    <t>AUG 9</t>
  </si>
  <si>
    <t>10.3354/ame018197</t>
  </si>
  <si>
    <t>228EL</t>
  </si>
  <si>
    <t>WOS:000082124100009</t>
  </si>
  <si>
    <t>Levitin, C</t>
  </si>
  <si>
    <t>Russian Antarctic base falls prey to budget cuts</t>
  </si>
  <si>
    <t>AUG 5</t>
  </si>
  <si>
    <t>10.1038/22847</t>
  </si>
  <si>
    <t>223RT</t>
  </si>
  <si>
    <t>WOS:000081854800013</t>
  </si>
  <si>
    <t>Chipperfield, MP; Jones, RL</t>
  </si>
  <si>
    <t>Relative influences of atmospheric chemistry and transport on Arctic ozone trends</t>
  </si>
  <si>
    <t>POLAR VORTEX; WINTER; DEPLETION; STRATOSPHERE; MLS</t>
  </si>
  <si>
    <t>The reduction in the amount of ozone in the atmospheric column over the Arctic region, observed during the 1990s(1,2), resembles the onset of the Antarctic ozone 'hole' in the mid-1980s, but the two polar regions differ significantly with respect to the relative contributions of chemistry and atmospheric dynamics to the ozone abundance. In the strong, cold Antarctic vortex, rapid springtime chemical ozone loss occurs throughout a large region of the lower stratosphere, whereas in the Arctic, although chemical ozone depletion has been observed(3-11), the vortex is generally much smaller, weaker and more variable(12). Here we report a model-based analysis of the relative importance of dynamics and chemistry in causing the Arctic ozone trend in the 1990s, using a state-of-the-art three-dimensional stratospheric chemistry-transport model. North of 63 degrees N we find that, on average, dynamical variations dominate the interannual variability, with little evidence for a trend towards more wintertime chemical depletion. However, increases in the burden of atmospheric halogens since the early 1970s are responsible for a large (14%) reduction in the average March column ozone, but this effect is mostly caused by increased destruction throughout the year rather than by halogen chemistry associated with wintertime polar statospheric clouds. Any influence of climate change on future average Arctic ozone amounts may thus be dominated by possible circulation changes, rather than by changes in chemical loss.</t>
  </si>
  <si>
    <t>Univ Leeds, Ctr Environm, Leeds LS2 9JT, W Yorkshire, England; Univ Cambridge, Dept Chem, Cambridge CB2 1EW, England</t>
  </si>
  <si>
    <t>University of Leeds; University of Cambridge</t>
  </si>
  <si>
    <t>Chipperfield, MP (corresponding author), Univ Leeds, Ctr Environm, Leeds LS2 9JT, W Yorkshire, England.</t>
  </si>
  <si>
    <t>Chipperfield, Martyn/H-6359-2013</t>
  </si>
  <si>
    <t>Chipperfield, Martyn/0000-0002-6803-4149; Jones, Roderic/0000-0002-6761-3966</t>
  </si>
  <si>
    <t>10.1038/22999</t>
  </si>
  <si>
    <t>WOS:000081854800051</t>
  </si>
  <si>
    <t>Houle, A</t>
  </si>
  <si>
    <t>The origin of platyrrhines: An evaluation of the antarctic scenario and the floating island model</t>
  </si>
  <si>
    <t>AMERICAN JOURNAL OF PHYSICAL ANTHROPOLOGY</t>
  </si>
  <si>
    <t>New World monkeys; biogeography; Antarctica; transoceanic migration; dispersal</t>
  </si>
  <si>
    <t>CENOZOIC PLATE RECONSTRUCTION; EOCENE FISSURE-FILLINGS; LA MESETA FORMATION; SEYMOUR-ISLAND; MIDDLE EOCENE; ANTHROPOID PRIMATE; TERTIARY; AUSTRALIA; CHINA; DEHYDRATION</t>
  </si>
  <si>
    <t>This paper evaluates whether 1) protoplatyrrhines could have migrated to South America via Antarctica, and 2) the floating island model is a plausible transoceanic mode of dispersal for land vertebrates like protoplatyrrhines, Results show that Eocene Antarctica and Australia supported large and dense forests, and that the Antarctic fauna was comprised of many species of vertebrates, including placental and marsupial land mammals. However, no primate remains have ever been reported from these continents. Antarctica and South America were connected until the Middle Eocene (i.e., after the oldest Asian anthropoids), but two major water barriers existed between Antarctica and Asia since the Early Eocene. The Eocene and Oligocene water gap separating Africa and Antarctica was excessively large. Thus, all scenarios involving an Antarctic route have been rejected. The African scenario is difficult to falsify because only one water barrier existed, both paleowinds and paleocurrents were favorable, and Paleogene African anthropoids shaw phylogenetic affinities to platyrrhines. I tested whether a journey on a hypothetical floating island over the Paleogene Atlantic Ocean exceeds the survival Limit of a genetically viable group of animals such as protoplatyrrhines. Studies of water deprivation suggest that they could have been able, with a body weight averaging 1 kg, to survive without water for at least 13 days. I have used the present Atlantic Ocean as a model for the velocity of Paleogene paleowinds and paleocurrents. Considering winds as the key accelerating force of floating islands, the Paleogene Atlantic water barrier could have been crossed, in the most conservative scenario, in 8 days at 50 Mya, 11 days at 40 Mya, and 15 days at 30 Mya. In order to survive a transoceanic journey, however, protoplatyrrhines had to be preadapted to strong seasonal variations in water availability in their original (African) environment. Once on the sea, their brains would have physiologically interpreted the rarity of water as the beginning of the dry season, and the group would have switched its diet to alternative foods, i.e., everything available on the floating island. (C) 1999 Wiley-Liss, Inc.</t>
  </si>
  <si>
    <t>Univ Quebec, Dept Sci Biol, Montreal, PQ H3C 3P8, Canada</t>
  </si>
  <si>
    <t>University of Quebec; University of Quebec Montreal</t>
  </si>
  <si>
    <t>Houle, A (corresponding author), Univ Quebec, Dept Sci Biol, CP 8888,Succ Ctr Ville, Montreal, PQ H3C 3P8, Canada.</t>
  </si>
  <si>
    <t>Houle, Alain/JFB-6461-2023</t>
  </si>
  <si>
    <t>Houle, Alain/0000-0003-4804-0231</t>
  </si>
  <si>
    <t>0002-9483</t>
  </si>
  <si>
    <t>AM J PHYS ANTHROPOL</t>
  </si>
  <si>
    <t>Am. J. Phys. Anthropol.</t>
  </si>
  <si>
    <t>AUG</t>
  </si>
  <si>
    <t>10.1002/(SICI)1096-8644(199908)109:4&lt;541::AID-AJPA9&gt;3.0.CO;2-N</t>
  </si>
  <si>
    <t>Anthropology; Evolutionary Biology</t>
  </si>
  <si>
    <t>Science Citation Index Expanded (SCI-EXPANDED); Social Science Citation Index (SSCI)</t>
  </si>
  <si>
    <t>221HN</t>
  </si>
  <si>
    <t>WOS:000081721800009</t>
  </si>
  <si>
    <t>Hardewig, I; Van Dijk, PLM; Moyes, CD; Pörtner, HO</t>
  </si>
  <si>
    <t>Temperature-dependent expression of cytochrome-c oxidase in Antarctic and temperate fish</t>
  </si>
  <si>
    <t>Antarctic fish; Zoarcidae</t>
  </si>
  <si>
    <t>MESSENGER-RNA STABILITY; COD GADUS-MORHUA; MITOCHONDRIAL GENOME; COLD ADAPTATION; NUCLEIC-ACID; RAT-TISSUES; ACCLIMATION; SUBUNITS; PROTEIN; CARP</t>
  </si>
  <si>
    <t>Seasonal acclimation versus permanent adaptation to low temperatures leads to a differential response in the expression of cytochrome-e oxidase (CCO) in temperate and Antarctic eelpouts. Although eurythermal eelpout from the North Sea (Zoarces viviparus) displayed a cold-induced rise of CCO activity in white muscle, enzyme activity in the cold stenothermal Antarctic eelpout Pachycara brachycephalum failed to reflect such a compensatory increase. In Antarctic eelpout, CCO activity correlates with transcript levels of mitochondrial encoded subunits of CCO (CCO I and CCO II), whereas cold-acclimated eelpout from the North Sea show lower enzyme activities than expected on the basis of mitochondrial mRNA levels. In these animals, CCO expression at low temperatures may be limited either by nuclear CCO transcripts or by posttranscriptional processes. These may comprise translation of the subunits or assembly of the CCO holoenzyme. mRNA levels of CCO IV, one of the nuclear encoded subunits, increased strongly during cold acclimation, indicating that the expression of CCO is likely not message limited in cold-acclimated Z. viviparus. Our data suggest that seasonal cold acclimation of Z. viviparus results in a modification of the relationship between transcription and translation or posttranslational processes. In permanently cold-adapted P. brachycephalum, on the other hand, CCO expression shows similar characteristics as in the warm-acclimated confamilial species, e.g., low levels of enzyme activity correlated with low levels of mitochondrial message.</t>
  </si>
  <si>
    <t>Alfred Wegener Inst Polar &amp; Marine Res, D-27568 Bremerhaven, Germany; Queens Univ, Dept Biol, Kingston, ON K7L 3N6, Canada</t>
  </si>
  <si>
    <t>Helmholtz Association; Alfred Wegener Institute, Helmholtz Centre for Polar &amp; Marine Research; Queens University - Canada</t>
  </si>
  <si>
    <t>Inst Freshwater Ecol, Dept Biol Fishes, POB 850119, D-12561 Berlin, Germany.</t>
  </si>
  <si>
    <t>hardewig@igb-berlin.de</t>
  </si>
  <si>
    <t>1522-1490</t>
  </si>
  <si>
    <t>R508</t>
  </si>
  <si>
    <t>R516</t>
  </si>
  <si>
    <t>10.1152/ajpregu.1999.277.2.R508</t>
  </si>
  <si>
    <t>224WT</t>
  </si>
  <si>
    <t>WOS:000081923500021</t>
  </si>
  <si>
    <t>Kleimenova, NG; Francia, P; Villante, U; Kozyreva, OV; Bitterly, J; Schott, JJ</t>
  </si>
  <si>
    <t>The temporal and spatial variations of low frequency geomagnetic pulsations at polar cusp and cap latitudes</t>
  </si>
  <si>
    <t>ANNALI DI GEOFISICA</t>
  </si>
  <si>
    <t>geomagnetic pulsations; Antarctica</t>
  </si>
  <si>
    <t>FIELD LINE RESONANCES; POLARIZATION CHARACTERISTICS; MAGNETIC PULSATIONS; MICROPULSATIONS; MAGNETOSPHERE; REGION</t>
  </si>
  <si>
    <t>Geomagnetic field measurements at two Antarctic stations are compared during two weeks in the local summer (January 1-15, 1992). Low frequency (0.6-6 mHz) pulsations are observed at each station near local magnetic noon. The same wave packets appear in some cases also at the other station, although with a significant attenuation, more clearly in the morning sector; the waves show a near noon reversal of the polarization sense from counter-clockwise in the morning to clockwise in the afternoon indicating a westward and an eastward propagation, respectively.</t>
  </si>
  <si>
    <t>Univ Aquila, Dipartimento Fis, I-67010 Coppito, Italy; Russian Acad Sci, Inst Phys Earth, Moscow, Russia; Chambon Foret Observ, Inst Phys Globe, Paris, France; Ecole &amp; Observ Sci Terre, Strasbourg, France</t>
  </si>
  <si>
    <t>University of L'Aquila; Russian Academy of Sciences; Schmidt Institute of Physics of the Earth of the Russian Academy of Sciences; Universite Paris Cite</t>
  </si>
  <si>
    <t>Francia, P (corresponding author), Univ Aquila, Dipartimento Fis, Via Vetoio 10, I-67010 Coppito, Italy.</t>
  </si>
  <si>
    <t>EDITRICE COMPOSITORI BOLOGNA</t>
  </si>
  <si>
    <t>BOLOGNA</t>
  </si>
  <si>
    <t>VIA STALINGRADO 97/2, I-40128 BOLOGNA, ITALY</t>
  </si>
  <si>
    <t>0365-2556</t>
  </si>
  <si>
    <t>ANN GEOFIS</t>
  </si>
  <si>
    <t>Ann. Geofis.</t>
  </si>
  <si>
    <t>245CA</t>
  </si>
  <si>
    <t>WOS:000083087600005</t>
  </si>
  <si>
    <t>Nichols, DS; Greenhill, AR; Shadbolt, CT; Ross, T; McMeekin, TA</t>
  </si>
  <si>
    <t>Physicochemical parameters for growth of the sea ice bacteria Glaciecola punicea ACAM 611T and Gelidibacter sp strain IC158</t>
  </si>
  <si>
    <t>PSYCHROPHILIC BACTERIA; WATER ACTIVITY; GEN. NOV.; TEMPERATURE; COMMUNITIES; MODEL; ANTARCTICUS; DIVERSITY; HABITATS; ABILITY</t>
  </si>
  <si>
    <t>The water activity and pH ranges for growth of Glaciecola punicea (a psychrophile) were extended when this organism was grown at suboptimal rather than optimal temperatures. No such extension was observed for Gelidibacter sp. strain IC158 (a psychrotolerant bacterium) at analogous temperatures. Salinity and pH may be primary physicochemical parameters controlling bacterial community development in sea ice.</t>
  </si>
  <si>
    <t>Univ Tasmania, Sch Agr Sci, Hobart, Tas 7001, Australia; Univ Tasmania, Antarctic CRC, Hobart, Tas 7001, Australia</t>
  </si>
  <si>
    <t>University of Tasmania; University of Tasmania</t>
  </si>
  <si>
    <t>Nichols, DS (corresponding author), Univ Tasmania, Sch Agr Sci, GPO Box 252-54, Hobart, Tas 7001, Australia.</t>
  </si>
  <si>
    <t>Nichols, David/0000-0002-8066-3132; Greenhill, Andrew/0000-0001-5831-8714; Ross, Tom/0000-0001-9916-7772</t>
  </si>
  <si>
    <t>223WR</t>
  </si>
  <si>
    <t>WOS:000081865000078</t>
  </si>
  <si>
    <t>Ives, JD; Messerli, B</t>
  </si>
  <si>
    <t>AD 2002 declared by United Nations as International Year of the Mountains</t>
  </si>
  <si>
    <t>HIMALAYAN</t>
  </si>
  <si>
    <t>Carleton Univ, Ottawa, ON K1S 5B6, Canada; Univ Bern, CH-3012 Bern, Switzerland; UN Univ, Tokyo, Japan</t>
  </si>
  <si>
    <t>Carleton University; University of Bern; United Nations University</t>
  </si>
  <si>
    <t>Ives, JD (corresponding author), Carleton Univ, Ottawa, ON K1S 5B6, Canada.</t>
  </si>
  <si>
    <t>10.2307/1552249</t>
  </si>
  <si>
    <t>227BP</t>
  </si>
  <si>
    <t>WOS:000082058400001</t>
  </si>
  <si>
    <t>Bareiss, J; Eicken, H; Helbig, A; Martin, T</t>
  </si>
  <si>
    <t>Impact of river discharge and regional climatology on the decay of sea ice in the Laptev Sea during spring and early summer</t>
  </si>
  <si>
    <t>ATMOSPHERIC CIRCULATION; TEMPERATURE; COVER; FLUCTUATIONS; ANOMALIES; DECREASES; LINKAGES; DELTA; MODEL</t>
  </si>
  <si>
    <t>Summer sea-ice conditions in the Laptev Sea are characterized by high interannual variability. The impact of Lena River discharge, one of the Arctic's major rivers discharging roughly 525 km(3) annually onto the Laptev shelf, and the regional meteorological regime affect the spring and summer ice regime of the Laptev Sea. Using ground and remote-sensing data and statistical analyses, it is shown that river discharge plays an insignificant role in the large-scale decay of the Laptev Sea ice cover. Hydrological and remote sensing data for the period 1979-1990 show that discharge/sea-ice interactions are confned to the coastal regions, with Lena River water flooding a fast-ice belt, roughly 25 km wide, in early to mid-June. Sea-ice decay and summer ice extent are shown to be affected most strongly by dynamic atmospheric forcing and by opening and enlargement of coastal polynyas in early spring.</t>
  </si>
  <si>
    <t>Univ Trier, Dept Climatol, D-54286 Trier, Germany; Univ Alaska, Inst Geophys, Fairbanks, AK 99775 USA; Alfred Wegener Inst Polar &amp; Marine Res, D-27515 Bremerhaven, Germany; Univ Kiel, Marine Res Inst, D-24105 Kiel, Germany</t>
  </si>
  <si>
    <t>Universitat Trier; University of Alaska System; University of Alaska Fairbanks; Helmholtz Association; Alfred Wegener Institute, Helmholtz Centre for Polar &amp; Marine Research; University of Kiel</t>
  </si>
  <si>
    <t>Bareiss, J (corresponding author), Univ Trier, Dept Climatol, D-54286 Trier, Germany.</t>
  </si>
  <si>
    <t>Martin, Thomas/AAF-9515-2021; Eicken, Hajo/M-6901-2016</t>
  </si>
  <si>
    <t>Martin, Thomas/0000-0003-2897-722X;</t>
  </si>
  <si>
    <t>10.2307/1552250</t>
  </si>
  <si>
    <t>WOS:000082058400002</t>
  </si>
  <si>
    <t>Kennedy, AD</t>
  </si>
  <si>
    <t>Modeling the determinants of species distributions in Antarctica</t>
  </si>
  <si>
    <t>TERRESTRIAL ARTHROPOD FAUNA; COLD-HARDINESS; SIGNY ISLAND; ENDOLITHIC MICROORGANISMS; ALASKOZETES-ANTARCTICUS; ULTRAVIOLET-RADIATION; FIELD-MEASUREMENTS; MARION-ISLAND; WILKES-LAND; TOLERANCE</t>
  </si>
  <si>
    <t>Considered from a functional ecological perspective, Antarctica's present-day terrestrial biota is the product of two sets of limiting factors: the continent's isolation from sources of immigrant propagules and the severe environmental stresses to which successful immigrants are exposed. The result is a low-diversity community composed almost entirely of stress-tolerant cryptogams, microarthropods, meiofauna, and microbes. In this paper a conceptual model is proposed that reduces the action of geographical isolation and environmental factors into a series of selection filters. It is argued that the low number of parameterizations needed to represent organism-environment interactions in Antarctica renders the simulation of macroscale patterns of species distributions a tractable proposition. Significantly, biotic interactions of the type that determine community structure at lower latitudes may be discounted. However, stochastic factors represent a source of noise that potentially reduce the model's predictive capability.</t>
  </si>
  <si>
    <t>Univ Witwatersrand, Ctr African Ecol, ZA-2050 Wits, South Africa</t>
  </si>
  <si>
    <t>University of Witwatersrand</t>
  </si>
  <si>
    <t>Kennedy, AD (corresponding author), Univ Bristol, Dept Earth Sci, Queens Rd, Bristol BS8 1RJ, Avon, England.</t>
  </si>
  <si>
    <t>10.2307/1552251</t>
  </si>
  <si>
    <t>WOS:000082058400003</t>
  </si>
  <si>
    <t>Gindl, W</t>
  </si>
  <si>
    <t>Climatic significance of light rings in timberline spruce, Picea abies, Austrian Alps</t>
  </si>
  <si>
    <t>MAXIMUM LATEWOOD DENSITY; MAJOR VOLCANIC-ERUPTIONS; SUMMER TEMPERATURE; RECONSTRUCTION; CONIFERS; RECORD; WIDTH</t>
  </si>
  <si>
    <t>A ring-width and light-ring chronology was built from timberline spruce [Picea abies CL.) Karst.] in the eastern Alps in Austria. Comparison of the chronology spanning the period from 1750 to 1997 with a long-term temperature record revealed a close relationship between September and October temperatures and light-ring occurrence. Tracheidogram analysis of radial tracheid diameter and cell-wall thickness of light rings formed in 1912 compared with a reference year confirmed the influence of temperatures of this period on light-ring formation. It is concluded that light rings in timberline spruce are painters for abnormally low temperatures during the last part of the growing season.</t>
  </si>
  <si>
    <t>Univ Agr Sci, Inst Bot, A-1180 Vienna, Austria</t>
  </si>
  <si>
    <t>BOKU University</t>
  </si>
  <si>
    <t>Gindl, W (corresponding author), Univ Agr Sci, Inst Bot, Gregor Mendel Str 33, A-1180 Vienna, Austria.</t>
  </si>
  <si>
    <t>Gindl-Altmutter, Wolfgang/C-7217-2015</t>
  </si>
  <si>
    <t>Gindl-Altmutter, Wolfgang/0000-0002-8224-6762</t>
  </si>
  <si>
    <t>10.2307/1552252</t>
  </si>
  <si>
    <t>WOS:000082058400004</t>
  </si>
  <si>
    <t>Sommaruga, R; Psenner, R; Schafferer, E; Koinig, KA; Sommaruga-Wögrath, S</t>
  </si>
  <si>
    <t>Dissolved organic carbon concentration and phytoplankton biomass in high-mountain lakes of the Austrian Alps:: Potential effect of climatic warming an UV underwater attenuation</t>
  </si>
  <si>
    <t>TEMPERATURE CATALYTIC-OXIDATION; FRESH-WATER ECOSYSTEMS; REMOTE ALPINE LAKES; ULTRAVIOLET-RADIATION; DOC MEASUREMENTS; NATIONAL-PARK; CHLOROPHYLL-A; B PENETRATION; GLOBAL CHANGE; ACIDIFICATION</t>
  </si>
  <si>
    <t>Concentrations of dissolved organic carbon (DOC) and phytoplankton biomass (chlorophyll-a and biovolume) were measured during a survey of 57 high-mountain lakes of the Austrian Alps ranging from 1970 to 2890 m a.s.I. in elevation. Glacier-fed lakes had lower DOC (mean: 0.39 mg L(-1)) than lakes not fed by glaciers (mean: 0.70 mg L(-1)). Concentrations of DOC decreased with lake elevation and was 64% lower in lakes located between 2600 and 2800 (mean = 0.51, median = 0.47 mg L(-1)) than between 1970 and 2200 m a.s.l. (mean = 1.40, median = 1.10 mg L(-1)). Chlorophyll-a concentrations ranged from 0.2 to 10.6 mu g L(-1) with a typical deep water maximum found in transparent lakes and a maximum close to the surface in glacier-fed lakes. Chlorophyll-a and direct estimations of biomass were highly significant correlated among lakes (r = 0.938, P &lt; 0.001). DOC concentrations and chlorophyll-a were not significantly correlated (P &gt; 0.05). The potential impact of climatic warming on the underwater ultraviolet radiation (UVR) was assessed on the basis of expected changes in concentration of the two most important factors controlling the attenuation of UVR in the water column of alpine lakes not fed by glaciers, i.e. the chromophoric DOC and phytoplankton. Considering a scenario of further climatic warming in the Alps, we hypothesize that the attenuation of underwater UVR will increase mainly as a consequence of higher inputs of allochthonous DOC to surface waters of alpine lakes. Application of an empirical model based on the attenuation of underwater UVR by DOG, indicated that between 25 and 50% of the lakes studied can be considered as sensitive to UVR, i.e., the value of the 1% UV attenuation depth was higher than the lake maximum depth.</t>
  </si>
  <si>
    <t>Univ Innsbruck, Inst Zool &amp; Limnol, A-6020 Innsbruck, Austria; Arge Limnol, Innsbruck, Austria; Inst Hyg, A-6020 Innsbruck, Austria</t>
  </si>
  <si>
    <t>University of Innsbruck</t>
  </si>
  <si>
    <t>Sommaruga, R (corresponding author), Univ Innsbruck, Inst Zool &amp; Limnol, Technikerstr 25, A-6020 Innsbruck, Austria.</t>
  </si>
  <si>
    <t>ruben.sommaruga@uibk.ac.at</t>
  </si>
  <si>
    <t>Sommaruga, Ruben/P-6626-2019; Sommaruga, Ruben/E-5335-2011; Koinig, Karin/F-2542-2013</t>
  </si>
  <si>
    <t>Sommaruga, Ruben/0000-0002-1055-2461; Sommaruga, Ruben/0000-0002-1055-2461; Koinig, Karin/0000-0002-3659-4934</t>
  </si>
  <si>
    <t>10.2307/1552253</t>
  </si>
  <si>
    <t>WOS:000082058400005</t>
  </si>
  <si>
    <t>Vavrek, MC; Fetcher, N; McGraw, JB; Shaver, GR; Chapin, FS; Bovard, B</t>
  </si>
  <si>
    <t>Recovery of productivity and species diversity in Tussock tundra following disturbance</t>
  </si>
  <si>
    <t>ERIOPHORUM-VAGINATUM; ALASKAN TUNDRA; GROWTH; FIRE; ESTABLISHMENT; COMMUNITIES; PENINSULA; CLIMATE</t>
  </si>
  <si>
    <t>Tundra ecosystems appear to recover slowly from disturbnnce, but little long-term data concerning plant diversity has been available. We examined recovery of tundra vegetation in Alaska, U.S.A., 23 yr after fire and 24 yr after bulldozing. Primary productivity, depth of thaw, and vascular giant diversity were compared between disturbed and undisturbed tundra to determine whether recovery was complete. Productivity, species richness, and diversity did not differ between burned and unburned plots. Depth of thaw, however, remained greater in burned relative to unburned plots. In contrast, depth of thaw was the only characteristic that did not differ between bulldozed and control plots. Productivity and species richness were greater in bulldozed plots, but diversity was less than control plots. The differences between the two disturbances suggest that, ultimately, recovery depends more on the impact of disturbance on vegetation than changes in the abiotic environment. Vegetative propagules persisted in the soil after fire, but not bulldozing. Therefore, recolonization after fire included plants from the seed bank and vegetative propagules. Vegetation on bladed plots was dominated only by seed bank species. Thus, more than two decades after disturbance, recovery of tundra vegetation appeared to be a function of the nature of the disturbance.</t>
  </si>
  <si>
    <t>Louisiana Tech Univ, Sch Biol Sci, Ruston, LA 71272 USA; Univ Scranton, Dept Biol, Scranton, PA 18510 USA; W Virginia Univ, Dept Biol, Morgantown, WV 26506 USA; Marine Biol Lab, Ctr Ecosyst, Woods Hole, MA 02543 USA; Univ Calif Berkeley, Dept Integrat Biol, Berkeley, CA 94720 USA; Duke Univ, Dept Bot, Durham, NC 27706 USA</t>
  </si>
  <si>
    <t>University of Louisiana System; Louisiana Technical University; University of Scranton; West Virginia University; Marine Biological Laboratory - Woods Hole; University of California System; University of California Berkeley; Duke University</t>
  </si>
  <si>
    <t>Vavrek, MC (corresponding author), Louisiana Tech Univ, Sch Biol Sci, Ruston, LA 71272 USA.</t>
  </si>
  <si>
    <t>Chapin, F Stuart/AAZ-3931-2020; Fetcher, Ned/ABE-9438-2020</t>
  </si>
  <si>
    <t>Chapin, F Stuart/0000-0002-2558-9910; Fetcher, Ned/0000-0003-2604-299X</t>
  </si>
  <si>
    <t>10.2307/1552254</t>
  </si>
  <si>
    <t>WOS:000082058400006</t>
  </si>
  <si>
    <t>Nyléhn, J; Totland, O</t>
  </si>
  <si>
    <t>Effects of temperature and natural disturbance on growth, reproduction, and population density in the alpine annual hemiparasite Euphrasia frigida</t>
  </si>
  <si>
    <t>SIMULATED ENVIRONMENTAL-CHANGE; ARCTIC POLAR SEMIDESERT; PLANTS; PHENOLOGY; RESPONSES; SVALBARD; NORWAY; FORMS</t>
  </si>
  <si>
    <t>The effects of temperature and natural disturbance on growth, seed production, and population density in the facultative hemiparasitic annual Euphrasia frigida (Scrophulariaceae) were examined in the middle alpine zone at Finse, southwest Norway. Experimentally elevated temperature increased growth and seed production significantly. Higher temperatures resulted in a small decrease in population densities during three seasons. The degree of natural disturbance did not influence growth and seed production, but population density was highest at intermediate disturbance levels. Thus, while temperature influenced the performance of E. frigida, disturbance affected the population dynamics. The effects of temperature on growth and reproduction may also be indirect on hemiparasites, through improved conditions for the host plants under elevated temperatures. It is hypothesized that the predicted global warming will result in increased seed output from E. frigida plants in the middle alpine zone. Population densities, however are likely to decrease under elevated temperatures, due to lower disturbance levels by frost heave and increased vegetation cover.</t>
  </si>
  <si>
    <t>Univ Oslo, Dept Biol, Div Bot &amp; Plant Physiol, N-0316 Oslo, Norway; Univ Bergen, Dept Bot, N-5007 Bergen, Norway</t>
  </si>
  <si>
    <t>University of Oslo; University of Bergen</t>
  </si>
  <si>
    <t>Univ Oslo, Dept Biol, Div Bot &amp; Plant Physiol, POB 1045 Blindern, N-0316 Oslo, Norway.</t>
  </si>
  <si>
    <t>nylehn@darwin.uio.no</t>
  </si>
  <si>
    <t>Nylehn, Jorun/HLQ-5980-2023</t>
  </si>
  <si>
    <t>Nylehn, Jorun/0000-0001-9705-8986</t>
  </si>
  <si>
    <t>10.2307/1552255</t>
  </si>
  <si>
    <t>WOS:000082058400007</t>
  </si>
  <si>
    <t>Illeris, L; Jonasson, S</t>
  </si>
  <si>
    <t>Soil and plant CO2 emission in response to variations in soil moisture and temperature and to amendment with nitrogen, phosphorus, and carbon in northern Scandinavia</t>
  </si>
  <si>
    <t>CLIMATE-CHANGE; ARCTIC TUNDRA; ENVIRONMENTAL MANIPULATIONS; ORGANIC-MATTER; TUSSOCK TUNDRA; BIOMASS; ECOSYSTEMS; PATTERNS; DIOXIDE; LITTER</t>
  </si>
  <si>
    <t>High-latitude ecosystems contain large soil carbon stocks. Climate change scenarios predict higher temperatures and changed precipitation pattern in the Arctic, which is likely to alter the ecosystem carbon (C) balance. With few exceptions most studies of the ecosystem C balance in the Arctic have taken place in wet ecosystems, and it has been shown that the CO2 efflux is likely to increase if the moisture level declines. However, large areas in the Arctic contain dry tundra, which is likely to make a different contribution to the C fluxes than wet tundra. In this study we examined the seasonal variations in ecosystem CO2 emission in a dry subarctic heath in northern Scandinavia. Soil moisture level during most of the season was below 250% dry weight of the soil, which is a moisture level below which previous research has shown that microbial activity becomes increasingly moisture limited. Along with measurements throughout the season of CO2 emission from plants and soil, soil temperatures, and moisture levels, we added N, P, sugar, and cornstarch. Except for a strong response to sugar addition, the short-term effect of soil temperature and moisture on seasonal CO2 emission was much stronger than the responses to the additions. A regression model showed that respiration rates also in this relatively dry tundra are strongly controlled primarily by soil moisture conditions. However, the CO2 efflux is likely to increase with increased moisture levels and decrease with drying, which is contrary to expected responses in wet tundra.</t>
  </si>
  <si>
    <t>Univ Copenhagen, Dept Plant Ecol, DK-1353 Copenhagen K, Denmark</t>
  </si>
  <si>
    <t>Illeris, L (corresponding author), Univ Copenhagen, Dept Plant Ecol, Oster Farimagsgade 2D, DK-1353 Copenhagen K, Denmark.</t>
  </si>
  <si>
    <t>Illeris, Lotte/0000-0002-2313-4680</t>
  </si>
  <si>
    <t>10.2307/1552256</t>
  </si>
  <si>
    <t>WOS:000082058400008</t>
  </si>
  <si>
    <t>Welker, JM; Brown, KB; Fahnestock, JT</t>
  </si>
  <si>
    <t>CO2 flux in Arctic and alpine dry tundra:: Comparative field responses under ambient and experimentally warmed conditions</t>
  </si>
  <si>
    <t>CARBON-DIOXIDE; CLIMATE-CHANGE; TEMPERATURE; MANIPULATIONS; OCTOPETALA; ECOSYSTEMS; SYSTEM; GROWTH; ALASKA; SINK</t>
  </si>
  <si>
    <t>We compared growing season CO2 flux patterns between botanically similar arctic and alpine dry tundra ecosystems in Alaska and Colorado under ambient and experimentally warmed conditions. Measurements were taken during the 1997 growing season, 3 yr after the warming treatments were begun. Under ambient weather conditions, arctic dry tundra at Toolik Lake, Alaska was a net source (4 g CO2-C m(-2)) of CO2 to the atmosphere, while alpine dry tundra at Niwot Ridge, Colorado, was a net CO2 sink (7 g CO2-C m(-2)) during the growing season. Experimental warming of arctic tundra by 1 to 3 degrees C, resulted in a sevenfold (32 g CO2-C m(-2)) increase in this ecosystem's carbon source activity. Similar warming in alpine tundra changed this ecosystem from a net carbon sink to a net carbon source of 8 g CO2-C m(-2) over the growing season. In the Arctic, increased CO2 efflux with warming was largely the result of increased rates of ecosystem respiration throughout the entire growing season, while in the alpine ecosystem respiration increased only early in the growing season. Rates of photosynthesis were generally not affected by experimental warming at either site. These data suggest that global warming will accentuate the carbon source activity of dry tundra in the northern foothills of Alaska and will change the net CO2 exchange of alpine dry tundra in the northern Rocky Mountains from a net CO2 sink to a source.</t>
  </si>
  <si>
    <t>Univ Wyoming, Dept Renewable Resources, Laramie, WY 82071 USA; Colorado State Univ, Nat Resource Ecol Lab, Ft Collins, CO 80523 USA; Colorado State Univ, Rangeland Ecosyst Sci Dept, Ft Collins, CO 80523 USA</t>
  </si>
  <si>
    <t>University of Wyoming; Colorado State University; Colorado State University</t>
  </si>
  <si>
    <t>Univ Wyoming, Dept Renewable Resources, Laramie, WY 82071 USA.</t>
  </si>
  <si>
    <t>jeff@uwyo.edu</t>
  </si>
  <si>
    <t>Welker, Jeffrey M/C-9493-2013</t>
  </si>
  <si>
    <t>10.2307/1552257</t>
  </si>
  <si>
    <t>WOS:000082058400009</t>
  </si>
  <si>
    <t>Klaus, M; Moore, RE; Vyse, E</t>
  </si>
  <si>
    <t>Impact of precipitation and grazing on the water vole in the Beartooth Mountains of Montana and Wyoming, USA</t>
  </si>
  <si>
    <t>This paper examines the influence of increased precipitation levels and grazing on the demographics of Microtus richardsoni. Water voles were trapped and marked during the summers of 1990, 1991, and 1992 along four headwater watersheds of the Clark's Fork of the Yellowstone River in Wyoming and Montana. The summer of 1992 had more than double the precipitation of either 1990 or 1991. During the wet summer of 1992, capture success was significantly greater, as was the proportion of young voles captured. In 1992, several factors contributed to increased water vole populations. There were significantly more indications of male reproductive activity. Class I water voles (13-49 g) Of both sexes showed signs of reproductive activity indicating they were reaching sexual maturity at smaller body mass. Significantly more embryos/trap-killed female were found. In 1995, the water vole was listed as a sensitive species because it is rare and requires specific alpine riparian habitat that is declining and may be damaged by poor grazing practices. Capture success was significantly greater and there were significantly more young water voles in ungrazed drainages. Measured indicators of reproductive activity did not vary significantly between grazed and ungrazed drainages. Grazing might affect survival of young water voles and should be studied further.</t>
  </si>
  <si>
    <t>Sheridan Coll, Div Nat Sci, Sheridan, WY 82801 USA; Montana State Univ, Dept Biol, Bozeman, MT 59717 USA</t>
  </si>
  <si>
    <t>Montana State University System; Montana State University Bozeman</t>
  </si>
  <si>
    <t>Klaus, M (corresponding author), Sheridan Coll, Div Nat Sci, 3059 Coffeen Ave, Sheridan, WY 82801 USA.</t>
  </si>
  <si>
    <t>10.2307/1552258</t>
  </si>
  <si>
    <t>WOS:000082058400010</t>
  </si>
  <si>
    <t>Titus, JH</t>
  </si>
  <si>
    <t>Ski slope vegetation of Mount Hood, Oregon, USA</t>
  </si>
  <si>
    <t>ST-HELENS; PRIMARY SUCCESSION; NORTHERN JAPAN; SOIL-EROSION; WASHINGTON; HOKKAIDO</t>
  </si>
  <si>
    <t>Ski slope vegetation on Mount Hood, Oregon, U.S.A. was surveyed to assess vegetation that has developed under a constant disturbance regime and the environmental factors that are important in structuring the vegetation. Ski runs extend from 1200 to 2200 m on the south face of Mount Hood. TWINSPAN distinguished 17 plant communities including 4 above treeline and 13 below treeline; 3 of the latter also occur in the forest adjacent to the ski runs. Elevation, which is correlated to temperature, precipitation, depth of snowpack, and timing of snow melt, is the most important variable structuring the vegetation. Soil texture is also important. Distance to the forest boundary influences the vegetation only at lower elevations. Most of the slopes we examined were thickly vegetated, except above treeline where vegetation is typically sparse. Non-native species were detected only at the lowest elevations and were infrequently dominant. Non-native species cover and richness were correlated with percent bare area. Relative to ski runs in other areas, those on Mount Hood have little non-native species invasion, probably due to the harsh conditions prevalent on the ski runs and to a relative lack of bare areas, which occupy 17% of the runs below treeline. The relative scarcity of bare areas may be a result of the relatively great age of the ski runs (64 yr). Above treeline there was no detectable difference in vegetative composition on and off the ski run, probably due to extensive trampling of the vegetation in the summer.</t>
  </si>
  <si>
    <t>Univ Nevada, Dept Biol Sci, Las Vegas, NV 89154 USA; Oregon Nat Heritage Program, Portland, OR USA; Hokkaido Univ, Grad Sch Environm Earth Sci, Sapporo, Hokkaido 060, Japan</t>
  </si>
  <si>
    <t>Nevada System of Higher Education (NSHE); University of Nevada Las Vegas; Hokkaido University</t>
  </si>
  <si>
    <t>Titus, JH (corresponding author), Univ Nevada, Dept Biol Sci, Las Vegas, NV 89154 USA.</t>
  </si>
  <si>
    <t>Tsuyuzaki, Shiro/F-9090-2012</t>
  </si>
  <si>
    <t>Tsuyuzaki, Shiro/0000-0003-3010-8699</t>
  </si>
  <si>
    <t>10.2307/1552259</t>
  </si>
  <si>
    <t>WOS:000082058400011</t>
  </si>
  <si>
    <t>Clements, CB</t>
  </si>
  <si>
    <t>Mountain and valley winds of Lee Vining Canyon, Sierra Nevada, California, USA</t>
  </si>
  <si>
    <t>NOCTURNAL DRAINAGE FLOW</t>
  </si>
  <si>
    <t>Observations have been made in a major, eastern canyon of the Sierra Nevada, and are the first documentation of the mountain and valley wind system in this range. The topography of the Eastside of the Sierra Nevada is unique, producing some interesting flow patterns. Surface and upper-air data have been collected during summer and winter from 1994 through 1997. The mountain wind and similarly the valley wind have been observed as regular features of Lee Vining Canyon. However, results have shown a complex wind regime where the normal up-canyon valley wind is often replaced with a down-canyon flow by mid-afternoon. This wind, which depends on a number of mechanisms, is more common during summer than winter which suggests that it may be thermally driven. During winter, katabatic flows have been observed in the upper reaches of the canyon proper, while a distinct valley wind dominated the lower regions of the canyon.</t>
  </si>
  <si>
    <t>Univ Utah, Dept Meteorol, Salt Lake City, UT 84112 USA; Univ Nevada, Dept Geog, Reno, NV 89557 USA</t>
  </si>
  <si>
    <t>Utah System of Higher Education; University of Utah; Nevada System of Higher Education (NSHE); University of Nevada Reno</t>
  </si>
  <si>
    <t>Clements, CB (corresponding author), Univ Utah, Dept Meteorol, Salt Lake City, UT 84112 USA.</t>
  </si>
  <si>
    <t>Clements, Craig B/D-6501-2018</t>
  </si>
  <si>
    <t>Clements, Craig/0000-0001-9999-8621</t>
  </si>
  <si>
    <t>10.2307/1552260</t>
  </si>
  <si>
    <t>WOS:000082058400012</t>
  </si>
  <si>
    <t>Doerner, JP; Carrara, PE</t>
  </si>
  <si>
    <t>Deglaciation and postglacial vegetation history of the West Mountains, west-central Idaho, USA</t>
  </si>
  <si>
    <t>GLACIER PEAK TEPHRA; ROCKY-MOUNTAINS; NATIONAL-PARK; MONTANA; CLIMATE; AGE; FLUCTUATIONS; STRATIGRAPHY; COLORADO; ALBERTA</t>
  </si>
  <si>
    <t>The West Mountains, west-central Idaho, were deglaciated before ca. 11,500 BP, as indicated by radiocarbon ages and Glacier Peak tephra, at several sites in cirques. Pollen analysis of a sediment core, and plant macrofossils from sediments recovered from the cirque at the head of Van Wyck Creek, indicate that a closed spruce-pine forest surrounded the site from ca. 11,500 to 9800 BP: Early in this period, spruce (probably krummholz) was already growing near the present-day altitudinal Limit of large upright spruce. Hence, the climate during this period was significantly warmer than before 11,500 BP: Between ca. 9800 and 3200 BP the climate was warmer and drier than present. Pollen data indicate that from ca. 9300 to the time of Mazama tephra deposition (ca. 6700 BP), the climate was warmer and drier than at any time since 11,500 BP. From ca. 6700 to 3200 BP there was a small decrease in temperature with a minor increase in effective moisture. Beginning ca. 3200 BP, the climate was characterized by cooler temperatures and more mesic conditions. Modern plant communities were established by ca. 1500 BP.</t>
  </si>
  <si>
    <t>Univ No Colorado, Dept Geog, Greeley, CO 80639 USA; US Geol Survey, Denver Fed Ctr, Lakewood, CO 80225 USA</t>
  </si>
  <si>
    <t>University of Northern Colorado; United States Department of the Interior; United States Geological Survey</t>
  </si>
  <si>
    <t>Doerner, JP (corresponding author), Univ No Colorado, Dept Geog, Greeley, CO 80639 USA.</t>
  </si>
  <si>
    <t>10.2307/1552261</t>
  </si>
  <si>
    <t>WOS:000082058400013</t>
  </si>
  <si>
    <t>Keylock, C; Domaas, U</t>
  </si>
  <si>
    <t>Evaluation of topographic models of rockfall travel distance for use in hazard applications</t>
  </si>
  <si>
    <t>AVALANCHE RUNOUT; PARAMETERS; PREDICTION</t>
  </si>
  <si>
    <t>Characterizing rockfall travel distances over a broad scale is time-consuming and expensive if a detailed numerical model is used that must account for varying boulder size and shape. In this paper four models are developed that utilize simple terrain parameters in order to predict extreme rockfall runout distances. Of these models, three are statistical and the fourth is a simple dynamics model. The results of our model testing suggest that a statistical model is advantageous if one wishes to determine rockfall hazard over a broad area quickly and effectively. In particular, the runout ratio approach is particularly useful at low exceedance probabilities because of the positively skewed distribution used. However, this model would appear to be more sensitive to the underlying data than other techniques. Consequently, the favored model may well depend upon the amount of data available from a given region.</t>
  </si>
  <si>
    <t>Univ Cambridge, Dept Geog, Cambridge CB2 3EN, England; Norwegian Geotech Inst, N-0806 Oslo, Norway</t>
  </si>
  <si>
    <t>University of Cambridge; Norwegian Geotechnical Institute, NGI</t>
  </si>
  <si>
    <t>Keylock, C (corresponding author), Univ Cambridge, Dept Geog, Downing Pl, Cambridge CB2 3EN, England.</t>
  </si>
  <si>
    <t>Keylock, Christopher J/B-8041-2010; Keylock, Christopher/AAG-4398-2019</t>
  </si>
  <si>
    <t>Keylock, Christopher J/0000-0002-9517-9896; Keylock, Christopher/0000-0002-9517-9896</t>
  </si>
  <si>
    <t>10.2307/1552262</t>
  </si>
  <si>
    <t>WOS:000082058400014</t>
  </si>
  <si>
    <t>Knudsen, NT; Hasholt, B</t>
  </si>
  <si>
    <t>Radio-echo sounding at the Mittivakkat Gletscher, southeast Greenland</t>
  </si>
  <si>
    <t>Profiles along sounding lines and maps are presented of the glacier surface, bottom topography, and ice thickness of Mittivakkat Gletscher. The maps are the result of the use of monopulse radio-echo sounding of ice thickness in about 450 points along profiles across the glacier. The position of most points was surveyed using a theodolith together with Electrooptic Distance Measurement. The Mittivakkat Gletscher consists of several accumulation basins which combine into a single ice tongue. There is a marked relief underneath the glacier, and it is possible to identify two major subglacial depressions, which probably strongly influence the subglacial drainage of water from the glacier. The bottom topography is reflected in the surface topography and in the position of crevassed areas. The following data were extracted: area: 17.6 km(2); volume: 2024 x 10(6) m(3); ice thickness, H-mean: 115 m; ice thickness, H-max: 245 m.</t>
  </si>
  <si>
    <t>Aarhus Univ, Dept Earth Sci, DK-8000 Aarhus C, Denmark; Univ Copenhagen, Inst Geog, DK-1350 Copenhagen, Denmark</t>
  </si>
  <si>
    <t>Aarhus University; University of Copenhagen</t>
  </si>
  <si>
    <t>Knudsen, NT (corresponding author), Aarhus Univ, Dept Earth Sci, Ny Munkegade,Bg 520, DK-8000 Aarhus C, Denmark.</t>
  </si>
  <si>
    <t>Knudsen, Niels Tvis/A-2461-2014</t>
  </si>
  <si>
    <t>10.2307/1552263</t>
  </si>
  <si>
    <t>WOS:000082058400015</t>
  </si>
  <si>
    <t>Raillard, MC; Svoboda, J</t>
  </si>
  <si>
    <t>Exact growth and increased nitrogen compensation by the Arctic sedge Carex aquatilis var. stans after simulated grazing.</t>
  </si>
  <si>
    <t>Correction</t>
  </si>
  <si>
    <t>WOS:000082058400016</t>
  </si>
  <si>
    <t>Makshtas, AP; Andreas, EL; Svyashchennikov, PN; Timachev, VF</t>
  </si>
  <si>
    <t>Accounting for clouds in sea ice models</t>
  </si>
  <si>
    <t>ATMOSPHERIC RESEARCH</t>
  </si>
  <si>
    <t>clouds; sea ice; surface-layer air temperature</t>
  </si>
  <si>
    <t>CLIMATE FEEDBACK; ATMOSPHERE; RADIATION</t>
  </si>
  <si>
    <t>Over sea ice in winter, the clouds, the surface-layer air temperature, and the long-wave radiation are closely coupled. Here we use archived data from the Russian Worth Pole (NP) drifting stations and our own data from Ice Station Weddell (ISW) to investigate this coupling. Both Arctic and Antarctic distributions of total cloud amount are U-shaped: that is, observed cloud amounts are typically either 0-2 tenths or 8-10 tenths in the polar regions. We fitted these data with beta distributions and, using roughly 70 station-years of observations from the NP stations, compute fitting parameters for each winter month. Although we find that surface-layer air temperature and total cloud amount are correlated, it is not straightforward to predict one from the other because temperature is normally distributed while cloud amount has a U-shaped distribution. Nevertheless, we develop a statistical algorithm that can predict total cloud amount in winter from surface-layer temperature alone and, as required, produces a distribution of cloud amounts that is U-shaped. Because sea ice models usually need cloud data to estimate incoming long-wave radiation, this algorithm may be useful for estimating cloud amounts and, thus, for computing the surface heat budget when: no visual cloud observations are available but temperature is measured from the Arctic buoy network or from automatic weather stations, for example. The incoming long-wave radiation in sea ice models is generally highly parameterized. We evaluate five common parameterizations using data from NP-4, NP-25, and ISW. The formula for estimating incoming long-wave radiation that Konig-Langlo and Augstein developed using both Arctic and Antarctic data has the best properties but does depend nonlinearly on total cloud amount. This nonlinearity is crucial since cloud distributions are U-shaped while common sources of cloud data tabulate only mean monthly values. Lastly, we therefore use a one-dimensional sea ice model to investigate how methods of averaging cloud amounts affect predicted sea ice thickness in the context of the five long-wave radiation parameterizations. Were, too, Konig-Langlo and Augstein's formula performs best, and using daily averaged cloud data yields more realistic results than using monthly averaged cloud data that have been interpolated to daily values. (C) 1999 Elsevier Science B.V. All rights reserved.</t>
  </si>
  <si>
    <t>USA, Cold Reg Res &amp; Engn Lab, Hanover, NH 03755 USA; Arctic &amp; Antarctic Res Inst, St Petersburg 199397, Russia</t>
  </si>
  <si>
    <t>United States Department of Defense; United States Army; U.S. Army Corps of Engineers; U.S. Army Engineer Research &amp; Development Center (ERDC); Cold Regions Research &amp; Engineering Laboratory (CRREL); Arctic &amp; Antarctic Research Institute</t>
  </si>
  <si>
    <t>USA, Cold Reg Res &amp; Engn Lab, 72 Lyme Rd, Hanover, NH 03755 USA.</t>
  </si>
  <si>
    <t>eandreas@crrel.usace.army.mil</t>
  </si>
  <si>
    <t>Sviashchennikov, Pavel/M-1736-2015</t>
  </si>
  <si>
    <t>0169-8095</t>
  </si>
  <si>
    <t>1873-2895</t>
  </si>
  <si>
    <t>ATMOS RES</t>
  </si>
  <si>
    <t>Atmos. Res.</t>
  </si>
  <si>
    <t>10.1016/S0169-8095(99)00028-9</t>
  </si>
  <si>
    <t>239DJ</t>
  </si>
  <si>
    <t>WOS:000082753300005</t>
  </si>
  <si>
    <t>Harris, PT; O'Brien, PE; Quilty, P; McMinn, A; Holdway, D; Exon, NF; Hill, PJ; Wilson, CW</t>
  </si>
  <si>
    <t>Sedimentation and continental slope processes in the vicinity of an ocean waste-disposal site, southeastern Tasmania</t>
  </si>
  <si>
    <t>AUSTRALIAN JOURNAL OF EARTH SCIENCES</t>
  </si>
  <si>
    <t>continental slope; jarosite; sedimentation; tracers; turbidity flows; waste disposal</t>
  </si>
  <si>
    <t>HEBBLE; EVOLUTION</t>
  </si>
  <si>
    <t>Digital echo sounding, SeaBeam swath bathymetry data and sediment cores were collected on the continental slope (1500-3700 m water depth) off southeastern Tasmania in order to study sedimentary processes in the vicinity of an ocean disposal site. The new bathymetry data show that the shallower limits of the disposal site are positioned on the seaward edge of a gently dipping (3 degrees) mid-slope shoulder, between 1200 and 2100 m water depth. The slope below the disposal site is relatively steep (6.5 degrees) and is cut by submarine canyons which lead into the adjacent East Tasman Saddle. The SeaBeam bathymetry data show a small submarine canyon traversing the slope in 2400 m water depth directly downslope from the disposal site, with local slopes of up to 22 degrees. The canyon feeds into a perched basin at 2450 m, which could be acting as a local sediment trap. Short (&lt;90 cm) gravity cores indicate that indurated erosional surfaces characterise the slope environment. The cores contain Upper Cretaceous (upper Campanian) sandstones and siltstones, which in places crop out on the sea floor where they are locally draped by a thin (0-30 cm), modern layer of hemipelagic calcareous ooze. Five cores collected from the vicinity of the disposal site had lead and zinc concentrations in the surface 1 cm of 10.3 +/- 5.0 and 39.5 +/- 19.6 mg/kg, respectively, significantly greater than the background values (2.9 +/- 1.4 for lead and 21.2 +/- 5.4 for zinc) which characterise the underlying unit that is composed of the same hemipelagic calcareous ooze. Lead and zinc are constituents of the dumped material, jarosite, which, after mixing with slope sediments, can be used as sediment tracers. One core contains a fining-upwards bed which is also elevated in lead and zinc. This is interpreted as evidence for dispersal of the jarosite from the disposal site downslope to depths &gt;3000 m via turbidity flows sometime during the past 24 years. Current meter data collected from 30 m above the sea floor over one year at the disposal site show that bottom currents attain speeds of up to 0.46 m/s. The current events are attributed to eddies shed by the East Australia Current. The measured bottom currents are capable of transporting fine-grained hemipelagic muds and could provide a trigger mechanism for turbidity flows.</t>
  </si>
  <si>
    <t>Antarctic CRC, Hobart, Tas 7001, Australia; Australian Geol Survey Org, Hobart, Tas 7001, Australia; Antarctic CRC, Canberra, ACT 2601, Australia; Australian Geol Survey Org, Canberra, ACT 2601, Australia; Univ Tasmania, Sch Earth Sci, Hobart, Tas 7001, Australia; Antarctic CRC, Hobart, Tas 7001, Australia; Univ Tasmania, IASOS, Hobart, Tas 7001, Australia; Australian Geo Survey Org, Canberra, ACT 2601, Australia; Environm &amp; Tech Serv Pty Ltd, N Hobart, Tas 7002, Australia</t>
  </si>
  <si>
    <t>Geoscience Australia; Geoscience Australia; University of Tasmania; University of Tasmania</t>
  </si>
  <si>
    <t>Harris, PT (corresponding author), Antarctic CRC, GPO Box 252-80, Hobart, Tas 7001, Australia.</t>
  </si>
  <si>
    <t>Harris, Peter/AAI-7100-2020; Harris, Peter T/C-6997-2009; McMinn, Andrew/A-9910-2008</t>
  </si>
  <si>
    <t>O'Brien, Philip/0000-0003-3446-3292; Exon, Neville/0000-0003-4169-4144</t>
  </si>
  <si>
    <t>BLACKWELL SCIENCE ASIA</t>
  </si>
  <si>
    <t>CARLTON</t>
  </si>
  <si>
    <t>54 UNIVERSITY ST, P O BOX 378, CARLTON, VICTORIA 3053, AUSTRALIA</t>
  </si>
  <si>
    <t>0812-0099</t>
  </si>
  <si>
    <t>AUST J EARTH SCI</t>
  </si>
  <si>
    <t>Aust. J. Earth Sci.</t>
  </si>
  <si>
    <t>10.1046/j.1440-0952.1999.00730.x</t>
  </si>
  <si>
    <t>223KA</t>
  </si>
  <si>
    <t>WOS:000081839200009</t>
  </si>
  <si>
    <t>Hathway, B; Duane, AM; Cantrill, DJ; Kelley, SP</t>
  </si>
  <si>
    <t>40Ar/39Ar geochronology and palynology of the Cerro Negro Formation, South Shetland Islands, Antarctica: a new radiometric tie for Cretaceous terrestrial biostratigraphy in the Southern Hemisphere</t>
  </si>
  <si>
    <t>Antarctica; Aptian; argon argon dating; Cretaceous; palynology; South Shetland Islands</t>
  </si>
  <si>
    <t>JAMES-ROSS-ISLAND; BYERS GROUP; LIVINGSTON ISLAND; GUSTAV GROUP; STRATIGRAPHY; PENINSULA; BASIN; POINT</t>
  </si>
  <si>
    <t>The upper part of the Jurassic-Cretaceous Byers Group, exposed on Byers Peninsula in the South Shetland Islands, Antarctica, consists of 1.4 km of non-marine strata assigned to the Cerro Negro Formation. Silicic pyroclastic units close to the base of the formation have yielded new 40Ar/39Ar ages of 120.3 +/- 2.2 Ma on plagioclase from one horizon, and 119.4 +/- 0.6 and 119.1 +/- 0.8 Ma on biotite and plagioclase from a second horizon. Plagioclase from a welded ignimbrite close to the topmost exposed part of the formation has given an 40Ar/39Ar age, of 119 +/- 3.0 Ma. These ages indicate that the Cerro Negro Formation was deposited during a relatively short period in early Aptian times. The identification of palynomorph taxa has enabled us to propose correlations for the Cerro Negro Formation with spore/pollen zonations of South America and Australia. The presence of Interulobites pseudoreticulatus, Appendicisporites and F, wonthaggiensis in the Cerro Negro Formation supports correlation with the Interulobites-Foraminisporis and the lower part of the tectifera-corrugatus zones in southern South America. The presence of Foraminisporis asymmetricus and other palynomorphs suggests correlation with the Cyclosporites hughesii Interval Zone of early to late Aptian age in Australia. These data represent a valuable addition to the few radiometric ties available for Mesozoic terrestrial palynostratigraphy in the Southern Hemisphere.</t>
  </si>
  <si>
    <t>British Antarctic Survey, NERC, Cambridge CB3 0ET, England; Open Univ, Dept Earth Sci, Milton Keynes MK7 6AA, Bucks, England</t>
  </si>
  <si>
    <t>UK Research &amp; Innovation (UKRI); Natural Environment Research Council (NERC); NERC British Antarctic Survey; Open University - UK</t>
  </si>
  <si>
    <t>British Antarctic Survey, NERC, Madingley Rd,High Cross, Cambridge CB3 0ET, England.</t>
  </si>
  <si>
    <t>Cantrill, David/R-1415-2019; Kelley, Simon/C-5489-2012</t>
  </si>
  <si>
    <t>Cantrill, David/0000-0002-1185-4015; Kelley, Simon/0000-0002-1756-0480</t>
  </si>
  <si>
    <t>1440-0952</t>
  </si>
  <si>
    <t>10.1046/j.1440-0952.1999.00727.x</t>
  </si>
  <si>
    <t>WOS:000081839200010</t>
  </si>
  <si>
    <t>Constable, AJ; Fairweather, PG</t>
  </si>
  <si>
    <t>Ecology of estuaries and soft-sediment habitats: Symposium introduction</t>
  </si>
  <si>
    <t>AUSTRALIAN JOURNAL OF ECOLOGY</t>
  </si>
  <si>
    <t>Australian Antarctic Div, Kingston, Tas 7050, Australia; Deakin Univ, Sch Ecol &amp; Environm, Warrnambool, Vic 3280, Australia</t>
  </si>
  <si>
    <t>Australian Antarctic Division; Deakin University</t>
  </si>
  <si>
    <t>Constable, AJ (corresponding author), Australian Antarctic Div, Channel Highway, Kingston, Tas 7050, Australia.</t>
  </si>
  <si>
    <t>Ross, Donald J/F-7607-2012</t>
  </si>
  <si>
    <t>0307-692X</t>
  </si>
  <si>
    <t>AUST J ECOL</t>
  </si>
  <si>
    <t>Aust. J. Ecol.</t>
  </si>
  <si>
    <t>10.1046/j.1442-9993.1999.00982.x</t>
  </si>
  <si>
    <t>223KH</t>
  </si>
  <si>
    <t>WOS:000081839900001</t>
  </si>
  <si>
    <t>Constable, AJ</t>
  </si>
  <si>
    <t>Ecology of benthic macro-invertebrates in soft-sediment environments: A review of progress towards quantitative models and predictions</t>
  </si>
  <si>
    <t>International Conference on the Ecology of Estuaries and Soft-Sediment Habitats</t>
  </si>
  <si>
    <t>FEB, 1997</t>
  </si>
  <si>
    <t>DEAKIN UNIV, GEELONG, AUSTRALIA</t>
  </si>
  <si>
    <t>DEAKIN UNIV</t>
  </si>
  <si>
    <t>benthos; communities; competition; disturbance; estuaries; macrofauna; models; population dynamics; predation; recruitment</t>
  </si>
  <si>
    <t>NEW-SOUTH-WALES; SUSPENSION-FEEDING BIVALVES; SEASONALLY CLOSED ESTUARY; ADULT-LARVAL INTERACTIONS; MERCENARIA-MERCENARIA L; CRAB CANCER-MAGISTER; CLAM MACOMA-BALTHICA; SIEVE MESH SIZE; COMMUNITY STRUCTURE; SPATIAL VARIATION</t>
  </si>
  <si>
    <t>This paper reviews the ecology of soft-sediment macro-invertebrates and, in particular, evaluates how much progress has been made in the recent literature towards elaborating statistical models of the ecology of these biota and in using quantitative predictions derived from these models. Steps to formulating statistical models on the dynamics of populations and assemblages are discussed. Current models are mostly conceptual (similar to 70% of studies surveyed), falling into 2 main classes: population dynamics (including recruitment, mortality, dispersal and availability of patches) and process-orientated studies (including the response of individuals to the physical environment, biogenic habitat modification, biological interactions and physical perturbations). Most recent studies were descriptive or on the population dynamics of species and were undertaken mostly at spatial scales of up to 1 km and temporal scales of months. The development of statistical models appears to be impeded by the limited scope of studies, an over-emphasis on conceptual models (but recognizing an important role for a rigorous experiment framework) and a difficulty in using outcomes from small-scale processes at the level of individual organisms to predict larger scale outcomes where many interactions contribute to variation in abundances. Currently, few studies undertake field assessments of the defining characteristics of habitats, the dynamics of those habitats and the relative importance of different habitats to individual populations. Much urgent work is required to develop large scale (space: &gt; 1 km; time: &gt; 1 years) statistical models. This is because attention needs to be given to those interactions and processes in the ecological systems that will provide for the greatest reduction in uncertainty in the quantitative predictions derived from these models.</t>
  </si>
  <si>
    <t>Australian Antarctic Div, Kingston, Tas 7050, Australia; Deakin Univ, Sch Aquat Sci &amp; Nat Resources Management, Warrnambool, Vic 3280, Australia</t>
  </si>
  <si>
    <t>Australian Antarctic Div, Channel Highway, Kingston, Tas 7050, Australia.</t>
  </si>
  <si>
    <t>BLACKWELL PUBLISHING ASIA</t>
  </si>
  <si>
    <t>10.1046/j.1442-9993.1999.00977.x</t>
  </si>
  <si>
    <t>WOS:000081839900014</t>
  </si>
  <si>
    <t>Guinet, C; Goldsworthy, SD; Robinson, S</t>
  </si>
  <si>
    <t>Sex differences in mass loss rate and growth efficiency in Antarctic fur seal (Arctocephalus gazella) pups at Macquarie Island</t>
  </si>
  <si>
    <t>BEHAVIORAL ECOLOGY AND SOCIOBIOLOGY</t>
  </si>
  <si>
    <t>antarctic fur seal; maternal expenditure; sexual dimorphism; growth rate; metabolic rate</t>
  </si>
  <si>
    <t>MATERNAL INVESTMENT; HEARD-ISLAND; SIZE; GALAPAGOENSIS; MILK</t>
  </si>
  <si>
    <t>We investigated the relationship between the mass gained by a pup during a period of maternal attendance (as an index of milk intake) and the duration of the preceding foraging trip in relation to the mass-specific rate of mass loss during fasting periods and the growth rate of Antarctic fur seal (Arctocephalus gazella) pups at Macquarie Island. We found that (1) serially weighed male pups grew significantly faster than females pups and that (2) fasting female pups lost mass at a significantly higher rate (2.55% day(-1)) than male pups (2.12% day(-1)) of the same mass; (3) during periods of maternal attendance, there were no intersexual differences in the amount of mass gained by pups of the same size, hence (4) female pups required a higher daily mass gain to grow at the same rate as male pups. Our results show that intersexual differences in growth rate may be accounted for by intersexual differences in mass-specific rate of mass loss, because females lost 0.42% more of their total mass per day (i.e, 4.2 g kg(-1) day(-1)) compared with male pups of the same body mass. Despite intersexual differences in growth rates, our results indicate equality of maternal expenditure between the sexes. Intersexual differences in the rate of mass loss may be due to differences in the metabolic rate, activity level and/or body composition of male and female pups.</t>
  </si>
  <si>
    <t>Ctr Etud Biol Chize, CNRS, F-79360 Villiers En Bois, France; Univ Tasmania, Dept Zool, Antarctic Wildlife Res Unit, Hobart, Tas 7001, Australia</t>
  </si>
  <si>
    <t>Centre National de la Recherche Scientifique (CNRS); University of Tasmania</t>
  </si>
  <si>
    <t>Guinet, C (corresponding author), Ctr Etud Biol Chize, CNRS, F-79360 Villiers En Bois, France.</t>
  </si>
  <si>
    <t>Guinet, Christophe/AAR-8457-2020</t>
  </si>
  <si>
    <t>Goldsworthy, Simon/0000-0003-4988-9085</t>
  </si>
  <si>
    <t>0340-5443</t>
  </si>
  <si>
    <t>BEHAV ECOL SOCIOBIOL</t>
  </si>
  <si>
    <t>Behav. Ecol. Sociobiol.</t>
  </si>
  <si>
    <t>10.1007/s002650050605</t>
  </si>
  <si>
    <t>Behavioral Sciences; Ecology; Zoology</t>
  </si>
  <si>
    <t>Behavioral Sciences; Environmental Sciences &amp; Ecology; Zoology</t>
  </si>
  <si>
    <t>228MX</t>
  </si>
  <si>
    <t>WOS:000082141200003</t>
  </si>
  <si>
    <t>Cockell, CS; Knowland, J</t>
  </si>
  <si>
    <t>Ultraviolet radiation screening compounds</t>
  </si>
  <si>
    <t>BIOLOGICAL REVIEWS</t>
  </si>
  <si>
    <t>UV radiation; evolution; screening; compounds</t>
  </si>
  <si>
    <t>UV-B RADIATION; CYANOBACTERIUM NOSTOC-COMMUNE; URCHIN STRONGYLOCENTROTUS-DROEBACHIENSIS; ANTARCTIC MARINE DIATOMS; TROPICAL SOLAR-RADIATION; PARA-AMINOBENZOIC ACID; AMINO-ACIDS; OPTICAL-PROPERTIES; OZONE-DEPLETION; ANTHOCYANIN FORMATION</t>
  </si>
  <si>
    <t>Amongst the diversity of methods used by organisms to reduce damage caused by ultraviolet (UV) radiation, the synthesis of UV-screening compounds is almost ubiquitous. UV-screening compounds provide a passive method for the reduction of UV-induced damage and they are widely distributed across the microbial, plant and animal kingdoms. They share some common chemical features. It is likely that on early earth strong selection pressures existed for the evolution of UV-screening compounds. Many of these compounds probably had other physiological roles, later being selected for the efficacy of UV screening. The diversity in physiological functions is one of the complications in studying UV-screening compounds and determining the true ecological importance of their UV-screening role. As well as providing protection against ambient UV radiation, species with effective screening may also be at an advantage during natural ozone depletion events. In this review the characteristics of a wide diversity of UV-screening compounds are discussed and evolutionary questions are explored. As research into the range of UV-screening compounds represented in the biosphere continues, so it is likely that the properties of many more compounds will be elucidated. These compounds, as well as providing us with insights into natural responses to UV radiation, may also have implications for the development of artificial UV-screening methods to reduce human exposure to UV radiation.</t>
  </si>
  <si>
    <t>Carnegie Inst Sci, Dept Plant Biol, Stanford, CA 94305 USA; Univ Oxford, Dept Biochem, Oxford OX1 3QU, England</t>
  </si>
  <si>
    <t>Carnegie Institution for Science; University of Oxford</t>
  </si>
  <si>
    <t>Carnegie Inst Sci, Dept Plant Biol, 290 Panama St, Stanford, CA 94305 USA.</t>
  </si>
  <si>
    <t>1464-7931</t>
  </si>
  <si>
    <t>1469-185X</t>
  </si>
  <si>
    <t>BIOL REV</t>
  </si>
  <si>
    <t>Biol. Rev.</t>
  </si>
  <si>
    <t>10.1017/S0006323199005356</t>
  </si>
  <si>
    <t>227CA</t>
  </si>
  <si>
    <t>WOS:000082059600004</t>
  </si>
  <si>
    <t>Callaghan, PT; Dykstra, R; Eccles, CD; Haskell, TG; Seymour, JD</t>
  </si>
  <si>
    <t>A nuclear magnetic resonance study of Antarctic sea ice brine diffusivity</t>
  </si>
  <si>
    <t>COLD REGIONS SCIENCE AND TECHNOLOGY</t>
  </si>
  <si>
    <t>NMR; Antarctic sea ice; water molecules</t>
  </si>
  <si>
    <t>STRUCTURAL CHARACTERISTICS; SELF-DIFFUSION; PLATELET ICE; FIELD; NMR</t>
  </si>
  <si>
    <t>We have measured the diffusive motion of water molecules in the brine inclusions of Antarctic sea ice using a specially constructed nuclear magnetic resonance (NMR) apparatus. The method relies on the use of pulsed magnetic field gradients in precise analogy to well established laboratory procedures. One version of the apparatus utilised core samples extracted from the ice sheet which were subsequently analysed on site while a later version utilised a probehead which was inserted into the ice sheet, thus minimising any sample perturbation. The diffusive motion of water molecules in the brine inclusions is found to be strongly anisotropic, and, over short length scales, exhibits a rapidity greatly in excess of that expected for thermal equilibrium Brownian behaviour, an effect which we attribute to convective transport. (C) 1999 Elsevier Science B.V. All rights reserved.</t>
  </si>
  <si>
    <t>Massey Univ, Inst Fundamental Sci Phys, Palmerston North, New Zealand; Ind Res Ltd, Lower Hutt, New Zealand; New Mexico Resonance, Albuquerque, NM USA</t>
  </si>
  <si>
    <t>Massey University; Callaghan Innovation</t>
  </si>
  <si>
    <t>Callaghan, PT (corresponding author), Massey Univ, Inst Fundamental Sci Phys, Palmerston North, New Zealand.</t>
  </si>
  <si>
    <t>p.callaghan@massey.ac.nz</t>
  </si>
  <si>
    <t>Seymour, Joseph D/E-8518-2012</t>
  </si>
  <si>
    <t>Seymour, Joseph/0000-0003-4264-5416</t>
  </si>
  <si>
    <t>0165-232X</t>
  </si>
  <si>
    <t>COLD REG SCI TECHNOL</t>
  </si>
  <si>
    <t>Cold Reg. Sci. Tech.</t>
  </si>
  <si>
    <t>10.1016/S0165-232X(99)00024-5</t>
  </si>
  <si>
    <t>Engineering, Environmental; Engineering, Civil; Geosciences, Multidisciplinary</t>
  </si>
  <si>
    <t>Engineering; Geology</t>
  </si>
  <si>
    <t>243DJ</t>
  </si>
  <si>
    <t>WOS:000082981500005</t>
  </si>
  <si>
    <t>Rintoul, SR; Bullister, JL</t>
  </si>
  <si>
    <t>A late winter hydrographic section from Tasmania to Antarctica</t>
  </si>
  <si>
    <t>SOUTH-PACIFIC OCEAN; CIRCUMPOLAR CURRENT; DRAKE PASSAGE; WATER MASSES; BOTTOM WATER; WEDDELL SEA; CIRCULATION; TRANSPORT; VENTILATION; ATLANTIC</t>
  </si>
  <si>
    <t>A hydrographic section between Tasmania and Antarctica was occupied in late winter 1991 as part of the World Ocean Circulation Experiment (WOCE). The primary purpose of the WOCE repeat section SR3 is to measure the exchange between the Indian and Pacific Oceans south of Australia. This paper describes the fronts, water masses and transport observed on the first occupation of the repeat section. The Subantarctic Front (SAF) is located between 50 degrees S and 51 degrees S and is the most striking feature of the vertical sections. Two additional fronts at 53 degrees S and 59 degrees S are associated with the Polar Front (PF), part of which turns northward to flow along the section before turning back to the east near 53 degrees S. Very deep (&gt; 500 m) mixed layers are found north of the SAF, confirming that Subantarctic Mode Water (SAMW) is formed in this region by deep convection in winter. Chlorofluorocarbons (CFCs) are significantly undersaturated (approximate to 90-92% of equilibrium values) in these deep mixed layers indicating that gas exchange rates are not rapid enough to bring these deep mixed layers to equilibrium by the end of the winter period of deep convective mixing. Northward Ekman drift of cold, fresh water across the SAF is likely to be responsible for the cooler, fresher mixed layers observed immediately north of the SAF. The Antarctic Intermediate Water (AAIW) on the SR3 section is relatively low in oxygen and CFCs(approximate to 60-70% and 10-20% of saturation values, respectively), high in potential vorticity, and high in nutrients. These characteristics suggest that the AAIW on this section is not renewed by direct and rapid ventilation near this location. Water mass properties suggest that water from the Tasman Sea spreads south and west across the northern portion of the SR3 section between 800 and 3000 m depth. A cold, fresh, CFC-rich variety of Antarctic Bottom Water is formed along the Wilkes-Adelie coast of Antarctica. The net transport across the section relative to the deepest common depth is 160 Sv. The band of eastward flow between 50 degrees S and 53 degrees S including the SAF carries 137Sv to the east and dominates the net transport. Weaker flow south of 58 degrees S contributes an additional 70Sv. The eastward flow is compensated in part by 37Sv of westward flow between Tasmania and 48.5 degrees S and 8Sv of flow to the west over the southern flank of the mid-ocean ridge. The trajectories of six ALACE floats deployed at about 950m confirm the sense of flow inferred from the choice of a deep reference level. (C) 1999 Elsevier Science Ltd. All rights reserved.</t>
  </si>
  <si>
    <t>CSIRO, Marine Res, Hobart, Tas 7001, Australia; NOAA, Pacific Marine Environm Lab, Seattle, WA 98115 USA; Antarct Cooperat Res Ctr, Hobart, Tas, Australia</t>
  </si>
  <si>
    <t>Commonwealth Scientific &amp; Industrial Research Organisation (CSIRO); National Oceanic Atmospheric Admin (NOAA) - USA</t>
  </si>
  <si>
    <t>CSIRO, Marine Res, GPO Box 1538, Hobart, Tas 7001, Australia.</t>
  </si>
  <si>
    <t>steve.rintoul@marine.csiro.au</t>
  </si>
  <si>
    <t>Rintoul, Stephen R/A-1471-2012</t>
  </si>
  <si>
    <t>Rintoul, Stephen R/0000-0002-7055-9876</t>
  </si>
  <si>
    <t>1879-0119</t>
  </si>
  <si>
    <t>10.1016/S0967-0637(99)00013-8</t>
  </si>
  <si>
    <t>205ZR</t>
  </si>
  <si>
    <t>WOS:000080851900005</t>
  </si>
  <si>
    <t>Scale invariantness of evolution of sea ice stress-strain state during failure</t>
  </si>
  <si>
    <t>Sukhorukov, KK (corresponding author), Arctic &amp; Antarctic Res Inst, St Petersburg 199226, Russia.</t>
  </si>
  <si>
    <t>271DV</t>
  </si>
  <si>
    <t>WOS:000084579700027</t>
  </si>
  <si>
    <t>Udintsev, GB; Schenke, HW; Schoene, T; Beresnev, AF; Efimov, PN; Kol'tsova, AV; Knyazev, AB; Teterin, DE; Kurentsova, NA; Bulychev, AA; Gilod, DA</t>
  </si>
  <si>
    <t>New data of the structure of the Pirie submarine rise, Scotia Sea, West Antarctic</t>
  </si>
  <si>
    <t>271DW</t>
  </si>
  <si>
    <t>WOS:000084579800029</t>
  </si>
  <si>
    <t>New data on the structure of the floor of the Billingshausen sea, West Antarctic</t>
  </si>
  <si>
    <t>PETER-I ISLAND; JONES MOUNTAINS</t>
  </si>
  <si>
    <t>271DX</t>
  </si>
  <si>
    <t>WOS:000084579900027</t>
  </si>
  <si>
    <t>Leiros, HKS; Willassen, NP; Smalås, AO</t>
  </si>
  <si>
    <t>Residue determinants and sequence analysis of cold-adapted trypsins</t>
  </si>
  <si>
    <t>EXTREMOPHILES</t>
  </si>
  <si>
    <t>cold adaptation; psychrophilicity; residue determinants; sequence comparison; trypsin</t>
  </si>
  <si>
    <t>BOVINE BETA-TRYPSIN; AMINO-ACID-SEQUENCE; PANCREATIC PROTEOLYTIC-ENZYMES; REFINED CRYSTAL-STRUCTURE; ANIONIC SALMON TRYPSIN; CARP CYPRINUS-CARPIO; COD GADUS-MORHUA; ENCODING 2; PROTEIN STABILITY; ATLANTIC COD</t>
  </si>
  <si>
    <t>The digestive enzyme trypsin is among the most extensively studied proteins, and its structure has been reported from a large number of organisms. This article focuses on the trypsins from vertebrates adapted to life at low temperatures. Cold-adapted organisms seem to have compensated for the reduced reaction rates at low temperatures by evolving more active and less temperature-stable enzymes. We have analyzed 27 trypsin sequences from a variety of organisms to find unique attributes for the cold-adapted trypsins, comparing trypsins from salmon, Antarctic fish, cod, and pufferfish to other vertebrate trypsins. Both the cold and the warm active trypsins have about 50 amino acids that are unique and conserved within each class. The main unique features of the cold-adapted trypsins attributable to low-temperature adaptation seem to be (1) reduced hydrophobicity and packing density of the core, mainly because of a lower (Ile + Leu)/(Ile + Leu + Val) ratio, (2) reduced stability of the C-terminal, (3) lack of one warm trypsin conserved proline residue and one proline tyrosine stacking, (4) difference in charge and flexibility of loops extending the binding pocket, and (5) different conformation of the autolysis loop that is likely to be involved in substrate binding.</t>
  </si>
  <si>
    <t>Univ Tromso, Fac Sci, Dept Chem, Prot Crystallog Grp, N-9037 Tromso, Norway; Univ Tromso, Fac Med, Inst Med Biol, N-9037 Tromso, Norway</t>
  </si>
  <si>
    <t>UiT The Arctic University of Tromso; UiT The Arctic University of Tromso</t>
  </si>
  <si>
    <t>Univ Tromso, Fac Sci, Dept Chem, Prot Crystallog Grp, N-9037 Tromso, Norway.</t>
  </si>
  <si>
    <t>arne.smalas@chem.uit.no</t>
  </si>
  <si>
    <t>Willassen, Nils Peder/AAE-1843-2019; Smalås, Arne/C-4131-2016; Leiros, Hanna-Kirsti S./E-4000-2016</t>
  </si>
  <si>
    <t>Willassen, Nils Peder/0000-0002-4397-8020; Smalås, Arne/0000-0002-4651-9911; Leiros, Hanna-Kirsti S./0000-0002-2726-6322</t>
  </si>
  <si>
    <t>SPRINGER JAPAN KK</t>
  </si>
  <si>
    <t>SHIROYAMA TRUST TOWER 5F, 4-3-1 TORANOMON, MINATO-KU, TOKYO, 105-6005, JAPAN</t>
  </si>
  <si>
    <t>1431-0651</t>
  </si>
  <si>
    <t>1433-4909</t>
  </si>
  <si>
    <t>Extremophiles</t>
  </si>
  <si>
    <t>Biochemistry &amp; Molecular Biology; Microbiology</t>
  </si>
  <si>
    <t>227YF</t>
  </si>
  <si>
    <t>WOS:000082107000006</t>
  </si>
  <si>
    <t>Willem, S; Srahna, M; Devos, N; Gerday, C; Loppes, R; Matagne, RF</t>
  </si>
  <si>
    <t>Protein adaptation to low temperatures:: a comparative study of α-tubulin sequences in mesophilic and psychrophilic algae</t>
  </si>
  <si>
    <t>tubulin; Antarctic algae; cold adaptation; psychrophiles</t>
  </si>
  <si>
    <t>COLD ADAPTATION; BETA-TUBULIN; ENZYMES; ORGANISMS</t>
  </si>
  <si>
    <t>The alpha-tubulin genes from two psychrophilic algae belonging to the genus Chloromonas (here named ANT1 and ANT3) have been isolated and sequenced. The genes anti and ant3 contain 4 and 2 introns, respectively. The coding DNA sequences are 90% identical but the degree of isology is very high at the polypeptide level (more than 97% strict identities). The ANT1 and ANT3 alpha-tubulin amino acid sequences were compared to the corresponding sequence of the mesophilic alga Chlamydomonas reinhardtii. Of the 15 substitutions detected in ANT1 and/or ANT3, 5 are common to both psychrophilic algae. The recorded substitutions have been analyzed in terms of cold adaptation on the basis of the available three-dimensional structure of the alpha,beta-tubulin heterodimer from pig brain, Most of these are subtle changes, but two substitutions, M268V and A295V occurring in the region of interdimer contacts, could be of great significance for the cold stability of Antarctic algae microtubules due to the fact that the entropic control of microtubule assembly is particularly high in cold adaptes species.</t>
  </si>
  <si>
    <t>Univ Liege, Dept Plant Biol, Liege, Belgium</t>
  </si>
  <si>
    <t>University of Liege</t>
  </si>
  <si>
    <t>Gerday, C (corresponding author), Univ Liege, Inst Chem, Biochem Lab, B6,Sart Tilman, B-4000 Liege, Belgium.</t>
  </si>
  <si>
    <t>10.1007/s007920050119</t>
  </si>
  <si>
    <t>WOS:000082107000007</t>
  </si>
  <si>
    <t>Harris, PT; Domack, E; Manley, PL; Gilbert, R; Leventer, A</t>
  </si>
  <si>
    <t>Andvord drift: A new type of inner shelf, glacial marine deposystem from the Antarctic Peninsula</t>
  </si>
  <si>
    <t>SEDIMENTATION; FJORDS; SEA; PRESERVATION; MARGIN; ICE</t>
  </si>
  <si>
    <t>Hemipelagic, sediment drift deposits have been discovered and mapped on the Antarctic Peninsula shelf in 300-500 m water depth. The drift located adjacent to Andvord Bay covers 44.5 km(2) and exhibits continuous and discontinuous parallel reflections that conform to peaks and valleys in the acoustic basement as observed in deep-tow boomer and sparker seismic records. This style of drift deposit is a common feature of deep oceanic sediments, but is not normally found in continental shelf environments. Measured sedimentation rates of 1-3 mm/yr on the Andvord drift indicate that the total 40 m drift thickness observed in the seismic records is probably postglacial. The drift contrasts with the basin-fill style of sedimentation that is normally associated with the Antarctic continental shelf and may play an important role in the carbon cycle. On the basis of an isopach map of drift sediments and previously published core information, the rate of carbon accumulation in the Andvord drift is estimated to be about 1.7 g/cm(2)/k.y., which is comparable to the highest rates reported for the southwestern Ross Sea.</t>
  </si>
  <si>
    <t>Antarctic Cooperat Res Ctr, Hobart, Tas 7001, Australia; Australian Geol Survey Org, Hobart, Tas 7001, Australia; Hamilton Coll, Dept Geol, Clinton, NY 13323 USA; Middlebury Coll, Dept Geol, Middlebury, VT 05753 USA; Queens Univ, Dept Geog, Kingston, ON K7L 3N6, Canada; Colgate Univ, Dept Geol, Hamilton, NY 13346 USA</t>
  </si>
  <si>
    <t>Geoscience Australia; Hamilton College; Queens University - Canada; Colgate University</t>
  </si>
  <si>
    <t>Harris, PT (corresponding author), Antarctic Cooperat Res Ctr, GPO Box 252-80, Hobart, Tas 7001, Australia.</t>
  </si>
  <si>
    <t>Harris, Peter/AAI-7100-2020; Harris, Peter T/C-6997-2009</t>
  </si>
  <si>
    <t>Leventer, Amy/0000-0001-9401-0987</t>
  </si>
  <si>
    <t>10.1130/0091-7613(1999)027&lt;0683:ADANTO&gt;2.3.CO;2</t>
  </si>
  <si>
    <t>221LY</t>
  </si>
  <si>
    <t>WOS:000081729600003</t>
  </si>
  <si>
    <t>Everson, I; Parkes, G; Kock, KH; Boyd, IL</t>
  </si>
  <si>
    <t>Variation in standing stock of the mackerel icefish Champsocephalus gunnari at South Georgia</t>
  </si>
  <si>
    <t>JOURNAL OF APPLIED ECOLOGY</t>
  </si>
  <si>
    <t>Antarctic; CCAMLR; ecosystem management; fur seal; krill</t>
  </si>
  <si>
    <t>ANTARCTIC FUR SEALS; ARCTOCEPHALUS-GAZELLA; DIET; COSTS; KRILL; FISH</t>
  </si>
  <si>
    <t>1. Bottom trawl surveys on the South Georgia shelf indicate episodic declines in the abundance of the mackerel icefish Champsocephalus gunnari that, since 1990, are not directly attributable to commercial fishing. 2. The greatest effect has been observed in years when krill are known to have been scarce on the South Georgia shelf. 3. It is thought that C. gunnari survivorship is closely related to, but indirectly influenced by, krill availability. 4. Examination of food chain relationships indicates that predation by fur seals is likely to play a major role in the observed changes in C, gunnari abundance. 5. Periodic shifts in food chain relationships, involving krill, C. gunnari and fur seals, are postulated that could explain the episodic declines in the abundance of C, gunnari in the absence of fishing. 6. The study demonstrates how a key predator can have an over-riding impact on a commercial fish species, highlighting the importance of the ecosystem approach to fisheries management.</t>
  </si>
  <si>
    <t>British Antarctic Survey, Cambridge CB3 0ET, England; Marine Resources Assessment Grp Ltd, London SW7 2QA, England; Bundesforschungsanstalt Fischerei, Inst Seefischerei, Hamburg, Germany</t>
  </si>
  <si>
    <t>Everson, I (corresponding author), British Antarctic Survey, Madingley Rd, Cambridge CB3 0ET, England.</t>
  </si>
  <si>
    <t>0021-8901</t>
  </si>
  <si>
    <t>J APPL ECOL</t>
  </si>
  <si>
    <t>J. Appl. Ecol.</t>
  </si>
  <si>
    <t>10.1046/j.1365-2664.1999.00425.x</t>
  </si>
  <si>
    <t>237EL</t>
  </si>
  <si>
    <t>WOS:000082642300012</t>
  </si>
  <si>
    <t>Miura, K; Ohgiya, S; Hoshino, T; Nemoto, N; Odaira, M; Nitta, K; Tsuda, S</t>
  </si>
  <si>
    <t>Determination of the solution structure of the N-domain plus linker of antarctic eel pout antifreeze protein RD3</t>
  </si>
  <si>
    <t>JOURNAL OF BIOCHEMISTRY</t>
  </si>
  <si>
    <t>antifreeze protein RD3; linker; NMR structure</t>
  </si>
  <si>
    <t>SECONDARY-STRUCTURE; ESCHERICHIA-COLI; H-1-NMR SPECTRA; SEA RAVEN; ICE; BINDING; NMR; ADSORPTION; SURFACE; PROGRAM</t>
  </si>
  <si>
    <t>RD3, a new antifreeze protein (AFP) extracted from antarctic eel pout is a single polypeptide divided into homologous N-terminal (residues Asn(1)-Glu(64)) and C-terminal (residues Ser(74)-Glu(134)) domains, each of which has a high sequence identity with Type III AFP, A 9-residue linker (-D(65)GTTSPGLK(73)-) connects these two domains in tandem and is thought to play a significant role in defining the nature of the intact molecule. The present paper shows for the first time the solution structure and preliminary N-15-NMR backbone dynamics data of the N-domain plus the linker of recombinant RD3 protein (RD3-N1: residues 1-73) by employing homo- and heteronuclear multidimensional NMR spectroscopy. Forty converged structures of RD3-NI were successfully calculated by using a total of 958 NMR-derived structural restraints, It was found that the N-domain of RD3-N1 has a globular form comprising six beta-strands, three type III turns, and several loops, which stabilize a flat, ice-binding site formed on one side of this domain. Further, the linker portion appears to have a definitive structure, which is independent of the globular N-domain. This definitive linker Is roughly divided into two short strands, -D(65)GTTSP(70)- and -G(71)LK(73)- which are bent around -T(67)TSPG(71)- at angle of approximately 60 degrees. This bending motif of the linker may function to orient the two ice-binding sites of the N- and C-domains of RD3 in the same direction, leading to their simultaneous interactions with the ice crystal surface.</t>
  </si>
  <si>
    <t>Hokkaido Natl Ind Res Inst, Biosci &amp; Chem Div, Toyohira Ku, Sapporo, Hokkaido 0628517, Japan; Hokkaido Univ, Grad Sch Sci, Div Biol Sci, Kita Ku, Sapporo, Hokkaido 0600808, Japan; Varian Japan, Minato Ku, Tokyo 1080023, Japan</t>
  </si>
  <si>
    <t>National Institute of Advanced Industrial Science &amp; Technology (AIST); Hokkaido University</t>
  </si>
  <si>
    <t>Tsuda, S (corresponding author), Hokkaido Natl Ind Res Inst, Biosci &amp; Chem Div, Toyohira Ku, 2-17-2-1 Tsukisamu Higashi, Sapporo, Hokkaido 0628517, Japan.</t>
  </si>
  <si>
    <t>HOSHINO, Tamotsu/R-2959-2019; Hoshino, Tamotsu/F-3357-2017; NEMOTO, Nobuaki/ABA-8644-2020; Ohgiya, Satoru/V-3117-2018; Tsuda, Sakae/M-2756-2018</t>
  </si>
  <si>
    <t>Ohgiya, Satoru/0000-0001-8257-8284; Tsuda, Sakae/0000-0002-1399-0619</t>
  </si>
  <si>
    <t>JAPANESE BIOCHEMICAL SOC</t>
  </si>
  <si>
    <t>ISHIKAWA BLDG-3F, 25-16 HONGO-5-CHOME, BUNKYO-KU, TOKYO, 113, JAPAN</t>
  </si>
  <si>
    <t>0021-924X</t>
  </si>
  <si>
    <t>J BIOCHEM-TOKYO</t>
  </si>
  <si>
    <t>J. Biochem. (Tokyo)</t>
  </si>
  <si>
    <t>10.1093/oxfordjournals.jbchem.a022462</t>
  </si>
  <si>
    <t>226GJ</t>
  </si>
  <si>
    <t>WOS:000082011700020</t>
  </si>
  <si>
    <t>Huybrechts, P; de Wolde, J</t>
  </si>
  <si>
    <t>The dynamic response of the Greenland and Antarctic ice sheets to multiple-century climatic warming</t>
  </si>
  <si>
    <t>CORE RECORD; MODEL; ATMOSPHERE; BALANCE; SENSITIVITY; CO2</t>
  </si>
  <si>
    <t>New calculations were performed to investigate the combined response of the Greenland and Antarctic ice sheets to a range of climatic warming scenarios over the next millennium. Use was made of fully dynamic 3D thermomechanic ice sheet models, which were coupled to a two-dimensional climate model. The experiments were initialized with simulations over the last two glacial cycles to estimate the present evolution and were subsequently forced with temperature scenarios resulting from greenhouse emission scenarios which assume equivalent CO2 increases of two, four, and eight times the present (1990 A.D.) value by the year 2130 A.D. and a stabilization after that. The calculations brought to light that during the next century (short-term effect), the background evolution trend would dominate the response of the Antarctic ice sheet but would be negligible for the Greenland ice sheet. On that timescale, the Greenland and Antarctic ice sheets would roughly balance one another for the middle scenario (similar to the IPCC96 IS92a scenario), with respective contributions to the worldwide sea level stand on the order of about +/-10 cm. On the longer term, however, both ice sheets would contribute positively to the worldwide sea level stand and the most important effect would come from melting on the Greenland ice sheet. Sensitivity experiments highlighted the role of ice dynamics and the height-mass-balance feedback on the results. It was found that ice dynamics cannot be neglected for the Greenland ice sheet, not even on a century timescale. but becomes only important for Antarctica on the longer term. The latter is related to an increased outflow of ice into the ice shelves and to the grounding-line retreat of the west Antarctic ice sheet, which are both found to be sensitive to basal melting below ice shelves and the effective viscosity of the ice shelves. Stretching parameters to their limits yielded a combined maximum rate of sea level rise of 85 cm century(-1), of which 60 cm would originate from the Greenland ice sheet alone.</t>
  </si>
  <si>
    <t>Free Univ Brussels, Dept Geog, B-1050 Brussels, Belgium; Alfred Wegener Inst Polar &amp; Marine Res, Bremerhaven, Germany; Univ Utrecht, Inst Marien &amp; Atmosfer Onderzoek, Utrecht, Netherlands</t>
  </si>
  <si>
    <t>Universite Libre de Bruxelles; Helmholtz Association; Alfred Wegener Institute, Helmholtz Centre for Polar &amp; Marine Research; Utrecht University</t>
  </si>
  <si>
    <t>Free Univ Brussels, Dept Geog, Pleinlaan 2, B-1050 Brussels, Belgium.</t>
  </si>
  <si>
    <t>phuybrec@vub.ne.be</t>
  </si>
  <si>
    <t>Huybrechts, Philippe/J-5278-2013</t>
  </si>
  <si>
    <t>Huybrechts, Philippe/0000-0003-1406-0525</t>
  </si>
  <si>
    <t>1520-0442</t>
  </si>
  <si>
    <t>10.1175/1520-0442(1999)012&lt;2169:TDROTG&gt;2.0.CO;2</t>
  </si>
  <si>
    <t>232HA</t>
  </si>
  <si>
    <t>WOS:000082364100003</t>
  </si>
  <si>
    <t>Tourre, YM; Rajagopalan, B; Kushnir, Y</t>
  </si>
  <si>
    <t>Dominant patterns of climate variability in the Atlantic Ocean during the last 136 years</t>
  </si>
  <si>
    <t>SEA-SURFACE TEMPERATURE; EXTRATROPICAL SST ANOMALIES; ANTARCTIC CIRCUMPOLAR WAVE; NINO-SOUTHERN OSCILLATION; GENERAL-CIRCULATION MODEL; PROGRAM FRANCAIS OCEAN; TROPICAL ATLANTIC; NORTH-ATLANTIC; EL-NINO; EQUATORIAL ATLANTIC</t>
  </si>
  <si>
    <t>Dominant spatiotemporal patterns of joint sea surface temperature (SST) and sea level pressure (SLP) variability in the Atlantic Ocean are identified using a multivariate frequency domain analysis. Five significant frequency bands are isolated ranging from the quasi biennial to the quasi decadal. Two quasi-biennial bands are centered around 2.2- and 2.7-yr periods: two interannual bands are centered around 3.5- and 4.4-yr periods; the fifth band at the quasi-decadal frequency is centered around 11.4-yr period. Between 1920 and 1955, the quasi-decadal band is less prominent compared to the quasi-biennial bands. This happens to be the period when SLP gradually increased over the Greenland-Iceland regions. The spatial pattern at the quasi-decadal frequency displays an out-of-phase relationship in the SLP in the vicinity of the subtropical anticyclones in both hemispheres (indicative of an out-of-phase quasi-decadal variability in the North and South Atlantic Hadley circulation). The quasi-decadal frequency also displays an out-of-phase relationship in the SSTs north and south of the mean position of the intertropical convergence zone (ITCZ). This short-lived structure, lasting for approximately two years, supports the argument that a tropical SST dipole pattern is one of the characteristics of the quasi-decadal signal. All five frequency bands represent to some extent fluctuations of the North Atlantic oscillation and are associated with tropical Atlantic Ocean warming (cooling) with different spatial evolution. The two interannual bands show opposite SST evolution to the south of the ITCZ, that is, southeastward evolution from the western tropical Atlantic for the 3.5-yr period and westward spreading from the eastern tropical Atlantic for the 4.4-yr period. Moreover, a significant coherence (with a 1-yr phase lag) is found between the SST time series along the equatorial Atlantic obtained from the 3.5-yr period, and the SST time series in the NINO3 area in the Pacific. It is cautiously argued that the 3.5-yr period is largely associated with the global El Nino-Southern Oscillation phenomenon. while the evolution of the 4.4-yr period depends more upon Atlantic local conditions.</t>
  </si>
  <si>
    <t>Columbia Univ, Lamont Doherty Earth Observ, Palisades, NY 10964 USA</t>
  </si>
  <si>
    <t>Columbia University</t>
  </si>
  <si>
    <t>Tourre, YM (corresponding author), Columbia Univ, Lamont Doherty Earth Observ, POB 1000,Rt 9W, Palisades, NY 10964 USA.</t>
  </si>
  <si>
    <t>Rajagopalan, Balaji/CAJ-3111-2022; Kushnir, Yochanan/B-4472-2013; BALAJI, RAJAGOPALAN/A-5383-2013</t>
  </si>
  <si>
    <t>Rajagopalan, Balaji/0000-0002-6883-7240; BALAJI, RAJAGOPALAN/0000-0003-1433-7520</t>
  </si>
  <si>
    <t>10.1175/1520-0442(1999)012&lt;2285:DPOCVI&gt;2.0.CO;2</t>
  </si>
  <si>
    <t>WOS:000082364100009</t>
  </si>
  <si>
    <t>Cordonnery, L</t>
  </si>
  <si>
    <t>Implementing the Protocol on Environmental Protection to the Antarctic Treaty: Future applications of geographic information systems within the Committee for Environmental Protection</t>
  </si>
  <si>
    <t>JOURNAL OF ENVIRONMENTAL MANAGEMENT</t>
  </si>
  <si>
    <t>Antarctic Treaty; Committee for Environmental Protection; environmental monitoring; geographic information system</t>
  </si>
  <si>
    <t>With the entry into force of the Protocol on Environmental Protection to the Antarctic Treaty (the Protocol) in January 1998, key operational aspects of the newly established Committee for Environmental Protection (CEP), such as its advisory capacity to Antarctic Treaty Consultative Meetings (ATCMs) need to be urgently addressed. This paper advocates the use of a geographic information system (GIS) environmental database to reinforce the advisory capacity of the CEP. The demonstrated links between the provisions of the Protocol and GIS capabilities illustrate the potential this has to assist the CEP in delivering informed advice to ATCMs. The range of GIS applications that could be utilized by the CEP in fulfilling its functions are examined by reference to precedents in Europe (CORINE) and Australia (ARIS). (C) 1999 Academic Press.</t>
  </si>
  <si>
    <t>Univ S Pacific, Sch Law, Port Vila, Vanuatu</t>
  </si>
  <si>
    <t>University of the South Pacific</t>
  </si>
  <si>
    <t>Cordonnery, L (corresponding author), Univ S Pacific, Sch Law, POB 12, Port Vila, Vanuatu.</t>
  </si>
  <si>
    <t>0301-4797</t>
  </si>
  <si>
    <t>1095-8630</t>
  </si>
  <si>
    <t>J ENVIRON MANAGE</t>
  </si>
  <si>
    <t>J. Environ. Manage.</t>
  </si>
  <si>
    <t>10.1006/jema.1999.0279</t>
  </si>
  <si>
    <t>230EC</t>
  </si>
  <si>
    <t>WOS:000082238000005</t>
  </si>
  <si>
    <t>Marsh, AG; Leong, PKK; Manahan, DT</t>
  </si>
  <si>
    <t>Energy metabolism during embryonic development and larval growth of an Antarctic sea urchin</t>
  </si>
  <si>
    <t>sea urchin; Sterechinus neumayeri; development; energetics; metabolic rate; respiration; mitochondrial density</t>
  </si>
  <si>
    <t>LECITHOTROPHIC DEVELOPMENT; MARINE-INVERTEBRATES; HALIOTIS-RUFESCENS; CALORIC CONTENT; ECHINODERMS; SIZE; EGGS; STRATEGIES; METAMORPHOSIS; REPRODUCTION</t>
  </si>
  <si>
    <t>Developmental energetics of an Antarctic sea urchin, Sterechinus neumayeri, were quantified to describe the physiological bases underlying ontogenetic changes in metabolic rate at extreme cold temperatures (-1.5 degrees C), Rates of development from a four-arm to a six-arm larval stage were not affected by food availability. The respiratory cost of development to the six-arm larval stage (day 60) was 14.0 mJ for fed larvae and 8.2 mJ for unfed larvae. We observed three phases of metabolic regulation during development. During embryogenesis (day 0-22), increasing metabolic rates were proportional to increases in cell numbers. During early larval development (day; 22-17), the differences in respiratory rate between fed and unfed larvae were not accounted for by cell number, but by cell-specific metabolic rate (respiratory rate normalized to DNA content). Once an advanced larval stage had been reached (day 47-60), cell-specific respiratory rate and mitochondrial densities (citrate synthase activity normalized to DNA content) were more equivalent between fed and unfed larvae, suggesting that size-specific metabolic rates were determined at a level of physiological regulation that was independent of cell numbers or feeding history.</t>
  </si>
  <si>
    <t>Univ So Calif, Dept Biol Sci, Los Angeles, CA 90089 USA</t>
  </si>
  <si>
    <t>Marsh, AG (corresponding author), Univ So Calif, Dept Biol Sci, Los Angeles, CA 90089 USA.</t>
  </si>
  <si>
    <t>228DZ</t>
  </si>
  <si>
    <t>WOS:000082123000005</t>
  </si>
  <si>
    <t>Leong, PKK; Manahan, DT</t>
  </si>
  <si>
    <t>Na+/K+-ATPase activity during early development and growth of an Antarctic sea urchin</t>
  </si>
  <si>
    <t>sea urchin; Sterechinus neumayeri; Na+/K+-ATPase; development; feeding; starvation; hypometabolic regulation</t>
  </si>
  <si>
    <t>ENERGY-METABOLISM; COLD ADAPTATION; ALAMETHICIN; CELLS; (NA++K+)-ATPASE; NA+,K+-ATPASE; PURIFICATION; VESICLES; FISHES; KIDNEY</t>
  </si>
  <si>
    <t>In Antarctic environments, the physiological bases for long larval life spans under natural conditions of limited food availability are not understood. The Na+ pump is likely to be involved with hypometabolic regulation in such cold environments. Changes in the activity and metabolic importance of Na+/K+-ATPase were measured in embryos of the Antarctic sea urchin Sterechinus neumayeri and in larvae reared under different feeding conditions. The rate of increase of total Na+/K+-ATPase activity was 3.9 times faster in fed than in unfed larvae. During development and growth, there was an increase in the percentage of total, potential Na+/K+-ATPase activity that was physiologically utilized. In early (10-day-old) gastrulae, 17 % was utilized in vivo, increasing to 77 % in six-arm pluteus (48-day-old) larvae. The metabolic importance of in vivo Na+/K+-ATPase activity also increased during development, accounting for 12 % of metabolic rate at day 10 and 84 % at day 45. When compared at the same enzyme assay temperature (15 degrees C), the protein-specific total Na+/K+-ATPase activities for late embryonic (prism) and early larval (pluteus) stages of S. neumayeri were 2.6 times lower than those for comparable developmental stages of two temperate sea urchin species (Strongylocentrotus purpuratus and Lytechinus pictus).</t>
  </si>
  <si>
    <t>Univ So Calif, Dept Biol Sci, Los Angeles, CA 90089 USA.</t>
  </si>
  <si>
    <t>manahan@usc.edu</t>
  </si>
  <si>
    <t>COMPANY BIOLOGISTS LTD</t>
  </si>
  <si>
    <t>BIDDER BUILDING, STATION RD, HISTON, CAMBRIDGE CB24 9LF, ENGLAND</t>
  </si>
  <si>
    <t>1477-9145</t>
  </si>
  <si>
    <t>WOS:000082123000006</t>
  </si>
  <si>
    <t>Crockett, EL; Londraville, RL; Wilkes, EE; Popesco, MC</t>
  </si>
  <si>
    <t>Enzymatic capacities for β-oxidation of fatty fuels are low in the gill of teleost fishes despite presence of fatty acid-binding protein</t>
  </si>
  <si>
    <t>JOURNAL OF EXPERIMENTAL ZOOLOGY</t>
  </si>
  <si>
    <t>CARNITINE PALMITOYLTRANSFERASE-I; TROUT SALMO-GAIRDNERI; COLD-ACCLIMATION; ANGUILLA-ANGUILLA; ANTARCTIC FISH; AEROBIC MUSCLE; STRIPED BASS; METABOLISM; LACTATE; TISSUES</t>
  </si>
  <si>
    <t>A variety of circulating fuels can support the work of the teleost gill. Previous work indicates, however, that unlike other aerobic tissues from teleosts, the gill may have a limited capacity to oxidize fatty fuels. We determined capacities for catabolism of carbohydrate, fatty acids, and amino acids in four species of temperate marine or euryhaline teleosts representing distinct lineages. In addition, we assessed the capacity for fatty acid oxidation in the gill from an Antarctic species. Activities of rate-limiting or regulatory enzymes from pathways of energy metabolism were measured at physiological temperatures (15 degrees C or 1 degrees C). In the temperate species, ATP yields from glucose are 3- to 30-fold greater (varying with species) than ATP yields from a monounsaturated fatty acid, while ATP generation from glutamate is 2-50 times greater than similar capacities for the lipid fuel. Like the temperate species, capacity for beta-oxidation of fatty acids is limited in the Antarctic species. A positive linear correlation between activities of citrate synthase (central pathway of oxidative metabolism) and hexokinase (glycolysis) adds further support to the hypothesis that glucose is a preferred metabolic fuel in gill. Our results also demonstrate that fatty acid-binding protein is present in the gill of teleost fishes. It is likely that this protein plays a more important role facilitating anabolic pathways in lipid metabolism rather than fatty acid oxidation in the gill of teleost fishes. (C) 1999 Wiley-Liss. Inc.</t>
  </si>
  <si>
    <t>Ohio Univ, Dept Sci Biol, Athens, OH 45701 USA; Mt Desert Isl Biol Lab, Salsbury Cove, ME 04672 USA; Univ Akron, Dept Biol, Akron, OH 44325 USA; Colby Coll, Dept Biol, Waterville, ME 04901 USA</t>
  </si>
  <si>
    <t>University System of Ohio; Ohio University; Mount Desert Island Biological Laboratory; University System of Ohio; University of Akron; Colby College</t>
  </si>
  <si>
    <t>Crockett, EL (corresponding author), Ohio Univ, Dept Sci Biol, Athens, OH 45701 USA.</t>
  </si>
  <si>
    <t>crockett@ohiou.edu</t>
  </si>
  <si>
    <t>Londraville, Richard/0000-0002-9438-7976</t>
  </si>
  <si>
    <t>DIV JOHN WILEY &amp; SONS INC, 111 RIVER ST, HOBOKEN, NJ 07030 USA</t>
  </si>
  <si>
    <t>0022-104X</t>
  </si>
  <si>
    <t>J EXP ZOOL</t>
  </si>
  <si>
    <t>J. Exp. Zool.</t>
  </si>
  <si>
    <t>AUG 1</t>
  </si>
  <si>
    <t>10.1002/(SICI)1097-010X(19990801)284:3&lt;276::AID-JEZ5&gt;3.0.CO;2-N</t>
  </si>
  <si>
    <t>214GF</t>
  </si>
  <si>
    <t>WOS:000081319700005</t>
  </si>
  <si>
    <t>Eska, V; von Zahn, U; Plane, JMC</t>
  </si>
  <si>
    <t>The terrestrial potassium layer (75-110 km) between 71°S and 54°N:: Observations and modeling</t>
  </si>
  <si>
    <t>LOWER THERMOSPHERE; UPPER-ATMOSPHERE; LIDAR OBSERVATIONS; SODIUM; MESOSPHERE; CHEMISTRY; MESOPAUSE; TEMPERATURE; NA; IONOSPHERE</t>
  </si>
  <si>
    <t>Observations of the nighttime atmospheric potassium layer were performed on the German research vessel Polarstern from March to June 1996. K density profiles were obtained between 71 degrees S and 45 degrees N. The nightly mean peak densities ranged from 140 cm(-3) in the equatorial region to 10 cm(-3) in the Antarctic, and the column abundances decreased from 1.2 x 10(8) to 1.3 x 10(7) cm(-2) going from low to high latitudes. High peak densities and column abundances were also commonly observed together with sporadic K layers. The global mean peak height of the normal (background) K layer was found to be 88.3 km. After the Polarstern campaign, observations were continued at Kuhlungsborn (54 degrees N). The summer and winter K layers, observed during July 1996 and January 1997, were quite different in shape but had similar peak densities and column abundances. A one-dimensional model of the K layer was developed which includes meteoric deposition, vertical transport through eddy diffusion, and a full chemical scheme. This model was able to reproduce very satisfactorily the seasonal behavior of the K layer at 54 degrees N if the wintertime deposition flux of the metal was reduced by 30% compared to the summer. The midlatitude ratio of K to Na was about 1%, much less than either the chondritic or cosmic ratios of the two metals (approximate to 8 or 6%, respectively). The most likely reason is that potassium vaporizes less efficiently from meteoroids than sodium, in agreement with a thermodynamic model of a nonideal chondritic magma and observations in the exosphere of Mercury. Finally, the model was generally very successful in reproducing the latitudinal variations in the K layer.</t>
  </si>
  <si>
    <t>Univ Rostock, Inst Atmospher Phys, D-18225 Kuhlungsborn, Germany; Univ E Anglia, Sch Environm Sci, Norwich NR4 7TJ, Norfolk, England</t>
  </si>
  <si>
    <t>Leibniz Institut fur Atmospharenphysik e.V. an der Universitat Rostock (IAP); University of Rostock; University of East Anglia</t>
  </si>
  <si>
    <t>Univ Rostock, Inst Atmospher Phys, Schlosstr 6, D-18225 Kuhlungsborn, Germany.</t>
  </si>
  <si>
    <t>eska@iap-kborn.de; vonzahn@iap-kborn.de; J.Plane@uea.ac.uk</t>
  </si>
  <si>
    <t>Plane, John/C-7444-2015</t>
  </si>
  <si>
    <t>Plane, John/0000-0003-3648-6893</t>
  </si>
  <si>
    <t>A8</t>
  </si>
  <si>
    <t>10.1029/1999JA900117</t>
  </si>
  <si>
    <t>222NB</t>
  </si>
  <si>
    <t>WOS:000081790700017</t>
  </si>
  <si>
    <t>Nakamura, R; Bargatze, LF; Mukai, T; Nagai, T; Baker, KB; Hairston, MR; Reiff, PH; Petrukovich, AA; Nozdrachev, M; Troshichev, OA</t>
  </si>
  <si>
    <t>Response of the midtail electric field to enhanced solar wind energy input</t>
  </si>
  <si>
    <t>EARTH PLASMA SHEET; MAGNETOSPHERIC CONVECTION; NEAR-EARTH; FLOWS; IONOSPHERE; SPACECRAFT; SUBSTORMS; EXPANSION; PARTICLE; ISEE-3</t>
  </si>
  <si>
    <t>We study the response of midtail plasma and field parameters to enhanced solar wind electric field input for two substorm intervals on November 22, 1995. The solar wind input signatures were quite different for these two substorms, which had major Pi2 onsets at 1108 and 1502 UT. The solar wind input for the 1108 UT substorm had a short timescale (similar to 0.5 hour) electric field enhancement up to 1.5 mV/m, whereas the solar wind electric field for the 1502 UT substorm continuously exceeded 1.5 mV/m for similar to 2 hours. Ln association with the expansion phase onsets of both substorms, the electric field fluctuation in the midtail plasma sheet commenced. The electric field disturbances lasted for a time interval close to the length of time, in which the solar wind electric field was enhanced. The midtail plasma sheet electric field responded well to the enhanced solar wind input with a time delay of 45-80 min. The pressure decrease, which started at the onset of both substorms, ended quite differently for these two substorms: the pressure decreased until it approached the quiet time level in the course of the 1108 UT substorm, whereas the pressure dropped below the quiet time level during the expansion phase of the 1502 UT substorm and stayed at this low level until late in the recovery phase. Using polar cap potential drop and the pressure profile in the midtail, we estimate the relationship between the dayside and nightside potential drop. We suggest that the difference in the nightside flux transport rate could control the configuration of the midtail and could explain why the tail pressure responded differently during the expansion and recovery phase of the two substorms.</t>
  </si>
  <si>
    <t>Max Planck Inst Extraterr Phys, D-85740 Garching, Germany; Johns Hopkins Univ, Appl Phys Lab, Laurel, MD 20723 USA; Univ Texas, Ctr Space Sci, Richardson, TX 75083 USA; Inst Space &amp; Astronaut Sci, Sagamihara, Kanagawa 229, Japan; Tokyo Inst Technol, Tokyo 1528551, Japan; Russian Acad Sci, Inst Space Res, Moscow 117810, Russia; Rice Univ, Dept Space Phys &amp; Astron, Houston, TX 77251 USA; Arctic &amp; Antarctic Inst, Dept Geophys, St Petersburg 191104, Russia; Nagoya Univ, Solar Terr Environm Lab, Toyokawa, Japan</t>
  </si>
  <si>
    <t>Max Planck Society; Johns Hopkins University; Johns Hopkins University Applied Physics Laboratory; University of Texas System; University of Texas Dallas; Japan Aerospace Exploration Agency (JAXA); Institute of Space &amp; Astronautical Science (ISAS); Tokyo Institute of Technology; Russian Academy of Sciences; Space Research Institute of the Russian Academy of Sciences; Rice University; Nagoya University</t>
  </si>
  <si>
    <t>Max Planck Inst Extraterr Phys, Postf 1603, D-85740 Garching, Germany.</t>
  </si>
  <si>
    <t>rumi@mpe.mpg.de</t>
  </si>
  <si>
    <t>Reiff, Patricia/D-2564-2014; Nakamura, Rumi/I-7712-2013; Mukai, Toshifumi/ABD-3297-2021; Petrukovich, Anatoly A./G-8764-2011</t>
  </si>
  <si>
    <t>Reiff, Patricia/0000-0002-8043-5682; Nakamura, Rumi/0000-0002-2620-9211;</t>
  </si>
  <si>
    <t>10.1029/1999JA900166</t>
  </si>
  <si>
    <t>WOS:000081790700027</t>
  </si>
  <si>
    <t>Rodger, CJ; Clilverd, MA; Yearby, KH; Smith, AJ</t>
  </si>
  <si>
    <t>Magnetospheric line radiation observations at Halley, Antarctica</t>
  </si>
  <si>
    <t>EARTHS MAGNETOSPHERE; SATELLITE</t>
  </si>
  <si>
    <t>Magnetospheric line Radiation (MLR) events are relatively narrowband VLF signals that sometimes drift in frequency, and have been observed in both ground based and satellite data sets. Line radiation has been attributed by some authors to be power line harmonic radiation (PLHR), generated from harmonics of the power transmission frequency (50 or 60 Hz) and radiated into the ionosphere and magnetosphere by long power lines. We present the result of a survey undertaken on the basis of measurements made of MLR events observed at Halley station, Antarctica (75 degrees 30'S, 26 degrees 54'W, L approximate to 4.3) in part of June 1995. Particular attention is given to the frequency spacing, drift rates, and amplitude of the MLR lines. MLR is present in 7.0% of the minute-long VLF recordings made at Halley. The MLR lines rise in frequency as often as they fall. However, these lines do not necessarily rise or fall monotonically and can oscillate while drifting. The Halley MLR has a wide range of line spacings and does not preferentially show spacings near harmonics of electrical transmission frequencies, either 50 Hi or 60 Hz. There is no correlation between the frequency drifts of the local 50 Hz Halley electrical supply and those of the observed MLR lines. The distribution of MLR line spacings observed in the Halley data has a roughly exponential form, suggesting a different mechanism for MLR than for PLHR.</t>
  </si>
  <si>
    <t>British Antarctic Survey, NERC, Upper Atmospher Sci Div, Cambridge CB3 0ET, England; Univ Sheffield, Sheffield S1 3JD, S Yorkshire, England</t>
  </si>
  <si>
    <t>UK Research &amp; Innovation (UKRI); Natural Environment Research Council (NERC); NERC British Antarctic Survey; University of Sheffield</t>
  </si>
  <si>
    <t>British Antarctic Survey, NERC, Upper Atmospher Sci Div, Madingley Rd,High Cross, Cambridge CB3 0ET, England.</t>
  </si>
  <si>
    <t>cjro@mail.nerc-bas.ac.uk; M.Cliverd@bas.ac.uk; K.Yearby@sheffield.ac.uk; A.J.Smith@sheffield.ac.uk</t>
  </si>
  <si>
    <t>10.1029/1999JA900153</t>
  </si>
  <si>
    <t>WOS:000081790700038</t>
  </si>
  <si>
    <t>Völker, C</t>
  </si>
  <si>
    <t>Momentum balance in zonal flows and resonance of baroclinic Rossby waves</t>
  </si>
  <si>
    <t>ANTARCTIC CIRCUMPOLAR CURRENT; BETA-PLANE CHANNEL; QUASI-GEOSTROPHIC MODEL; SOUTHERN-OCEAN; WIND-DRIVEN; MULTIPLE EQUILIBRIA; FORM-DRAG; TOPOGRAPHY; CIRCULATION</t>
  </si>
  <si>
    <t>Wind-driven flow in a baroclinic quasigeostrophic channel with simple bottom topography is studied in a model with reduced physics and degrees of freedom as an analogy to the Antarctic Circumpolar Current. For a sinusoidal topography an approximate analytical solution is found using a low-order spectral model. Resonance of baroclinic Rossby waves can lead to different flow regimes of which one is a blocked state, where most of the momentum, imparted to the fluid by the wind stress, is transferred to the earth by bottom form stress. For some parameter values there are both resonant and nonresonant solutions to the model equations. It is shown that these results of the low-order model apply also to a more complicated spectral model with sinusoidal but also with Gaussian ridge topography. The steady states of these models are found numerically using a continuation algorithm. In the case of the ridge topography, the resonant and nonresonant steady states coexist over a wide range of topography heights.</t>
  </si>
  <si>
    <t>Alfred Wegener Inst Polar &amp; Marine Res, Bremerhaven, Germany</t>
  </si>
  <si>
    <t>cvoelker@ifm.uni-kiel.de</t>
  </si>
  <si>
    <t>Voelker, Christoph/I-7891-2012</t>
  </si>
  <si>
    <t>Voelker, Christoph/0000-0003-3032-114X</t>
  </si>
  <si>
    <t>10.1175/1520-0485(1999)029&lt;1666:MBIZFA&gt;2.0.CO;2</t>
  </si>
  <si>
    <t>236PG</t>
  </si>
  <si>
    <t>WOS:000082607300003</t>
  </si>
  <si>
    <t>Holland, DM; Jenkins, A</t>
  </si>
  <si>
    <t>Modeling thermodynamic ice-ocean interactions at the base of an ice shelf</t>
  </si>
  <si>
    <t>SEA-ICE; THERMOHALINE CIRCULATION; BOUNDARY-LAYER; WEDDELL SEA; MARINE ICE; RONNE; WATER; ANTARCTICA; BENEATH; DYNAMICS</t>
  </si>
  <si>
    <t>Models of ocean circulation beneath ice shelves are driven primarily by the heal and freshwater fluxes that are associated with phase changes at the ice-ocean boundary. Their behavior is therefore closely linked to the mathematical description of the interaction between ice and ocean that is included in the code. An hierarchy of formulations that could be used to describe this interaction is presented. The main difference between them is the treatment of turbulent transfer within the oceanic boundary layer. The computed response to various levels of thermal driving and turbulent agitation in the mixed layer is discussed, as is the effect of various treatments of the conductive heat flux into the ice shelf. The performance of the different formulations that have been used in models of sub-ice-shelf circulation is assessed in comparison with observations of the turbulent heat flux beneath sea ice. Formulations that include an explicit parameterization of the oceanic boundary layer give results that lie within about 30% of observation. Formulations that use constant bulk transfer coefficients entail a definite assumption about the level of turbulence in the water column and give melt/freeze rates that vary by a factor of 5, implying very different forcing on the respective ocean models.</t>
  </si>
  <si>
    <t>Lamont Doherty Earth Observ, Palisades, NY 10964 USA; British Antarctic Survey, Cambridge CB3 0ET, England</t>
  </si>
  <si>
    <t>Columbia University; UK Research &amp; Innovation (UKRI); Natural Environment Research Council (NERC); NERC British Antarctic Survey</t>
  </si>
  <si>
    <t>Holland, DM (corresponding author), NYU, Courant Inst Math Sci, 251 Mercer St,Warren Weaver Hall,907, New York, NY 10012 USA.</t>
  </si>
  <si>
    <t>10.1175/1520-0485(1999)029&lt;1787:MTIOIA&gt;2.0.CO;2</t>
  </si>
  <si>
    <t>WOS:000082607300010</t>
  </si>
  <si>
    <t>Hughes, CW; Meredith, MP; Heywood, KJ</t>
  </si>
  <si>
    <t>Wind-driven transport fluctuations through drake passage: A southern mode</t>
  </si>
  <si>
    <t>ANTARCTIC CIRCUMPOLAR CURRENT; BOTTOM PRESSURE MEASUREMENTS; GENERAL-CIRCULATION MODEL; BETA-PLANE CHANNEL; LARGE-SCALE; OBSCURANTIST PHYSICS; FORM DRAG; STRATIFIED OCEAN; KINETIC-ENERGY; SPIN-UP</t>
  </si>
  <si>
    <t>It is proposed that, for periods between about 10 and 220 days, the variability in Antarctic circumpolar transport is dominated by a barotropic mode that follows SIH contours almost everywhere. Theoretical arguments are given that suggest the possible importance of this mode and show that bottom pressure to the south of the current should be a good monitor of its transport. The relevance of these arguments to eddy-resolving models is confirmed by data from the Fine Resolution Antarctic Model and the Parallel Ocean Climate Model. The models also show that it may be impossible to distinguish the large-scale barotropic variability from local baroclinic processes, given only local measurements, although this is not generally a problem to the south of the Antarctic Circumpolar Current. Comparison of bottom pressures measured in Drake Passage and subsurface pressure on the Antarctic coast, with wind stresses derived from meteorological analyses, gives results consistent with the models, showing that wind stress to the south of Drake Passage can explain most of the observed coherence between wind stresses and circumpolar transport. There is an exception to this in a narrow band of periods near 20 days for which winds farther north seem important. It is suggested that this may be due to a sensitivity of the almost free mode to winds at particular locations, where the current crosses SIH contours.</t>
  </si>
  <si>
    <t>Bidston Observ, Proudman Oceanog Lab, Birkenhead L43 7RA, Merseyside, England; Univ E Anglia, Sch Environm Sci, Norwich NR4 7TJ, Norfolk, England</t>
  </si>
  <si>
    <t>NERC National Oceanography Centre; University of East Anglia</t>
  </si>
  <si>
    <t>Bidston Observ, Proudman Oceanog Lab, Birkenhead L43 7RA, Merseyside, England.</t>
  </si>
  <si>
    <t>chughes@pol.ac.uk</t>
  </si>
  <si>
    <t>Hughes, Chris/GQP-7479-2022; Hughes, Chris W/A-3791-2010; Heywood, Karen/L-1757-2016</t>
  </si>
  <si>
    <t>Hughes, Chris W/0000-0002-9355-0233; Heywood, Karen/0000-0001-9859-0026; Meredith, Michael/0000-0002-7342-7756</t>
  </si>
  <si>
    <t>10.1175/1520-0485(1999)029&lt;1971:WDTFTD&gt;2.0.CO;2</t>
  </si>
  <si>
    <t>236PJ</t>
  </si>
  <si>
    <t>WOS:000082607500006</t>
  </si>
  <si>
    <t>Talley, LD</t>
  </si>
  <si>
    <t>Simple coupled midlatitude climate models</t>
  </si>
  <si>
    <t>SEA-SURFACE TEMPERATURE; ANTARCTIC CIRCUMPOLAR WAVE; NORTH PACIFIC; INTERDECADAL VARIABILITY; HEMISPHERE CIRCULATION; SOUTHERN OSCILLATION; GENERAL-CIRCULATION; DECADAL VARIABILITY; LINEAR-RESPONSE; SST ANOMALIES</t>
  </si>
  <si>
    <t>A set of simple analytical models is presented and evaluated for interannual to decadal coupled ocean-atmosphere modes at midlatitudes. The atmosphere and ocean are each in Sverdrup balance at these long timescales. The atmosphere's temperature response to heating determines the spatial phase relation between SST and sea level pressure (SLP) anomalies. Vertical advection balancing heating produces high (low) SLP lying east of warm (cold) SST anomalies, as observed in the Antarctic circumpolar wave (ACW), the decadal North Pacific mode, and the interannual North Atlantic mode. Zonal advection in an atmosphere with a rigid lid produces low SLP east of warm SST. However, if an ad hoc equivalent barotropic atmospheric response is assumed, high SLP lies east of warm SST. Relaxation to heating produces behavior like the observed North Atlantic decadal pattern, with low SLP over warm SST. Meridional advection in the atmosphere cannot produce the observed SST/SLP patterns. The dominant balance in the oceans temperature equation determines the phase speed of the modes. The coupled mode is nondispersive in all models examined here, indicating the need for additional processes. For modes with an SST-SLP offset as observed in the ACW and North Pacific, Ekman convergence acting as a heat source causes eastward propagation relative to the mean ocean flow. Sverdrup response to Ekman convergence, acting on the mean meridional temperature gradient, causes westward propagation relative to the mean ocean Row. When the ocean temperature adjusts through surface heat flux alone, the mode is advected by the mean ocean flow and is damped. Relaxation to heating in the atmosphere, when operating with Sverdrup response in the ocean, produces the only complete solution presented here that exhibits growth, with an a-folding timescale of order (100 days). This solution appears appropriate for the North Atlantic decadal mode. In Northern Hemisphere basins, with meridional boundaries, the: same sets of dynamics create the observed SST-SLP phase relation. An additional factor is the creation of SST anomalies through variations in the western boundary current strengths, which are related to the zonally integrated wind stress curl over the whole basin. If barotropic and hence fast adjustment is assumed, the resulting positive feedback can maintain or strengthen the coupled anomalies in the North Pacific and interannual North Atlantic modes.</t>
  </si>
  <si>
    <t>Univ Calif San Diego, Scripps Inst Oceanog, Phys Oceanog Res Div, La Jolla, CA 92093 USA</t>
  </si>
  <si>
    <t>University of California System; University of California San Diego; Scripps Institution of Oceanography</t>
  </si>
  <si>
    <t>Talley, LD (corresponding author), Univ Calif San Diego, Scripps Inst Oceanog, Phys Oceanog Res Div, 0230, La Jolla, CA 92093 USA.</t>
  </si>
  <si>
    <t>Talley, Lynne/0000-0003-1574-729X</t>
  </si>
  <si>
    <t>10.1175/1520-0485(1999)029&lt;2016:SCMCM&gt;2.0.CO;2</t>
  </si>
  <si>
    <t>WOS:000082607500008</t>
  </si>
  <si>
    <t>McDonagh, EL; Heywood, KJ</t>
  </si>
  <si>
    <t>The origin of an anomalous ring in the southeast Atlantic</t>
  </si>
  <si>
    <t>AGULHAS RETROFLECTION REGION; INDIAN-OCEAN; MESOSCALE VARIABILITY; INTERMEDIATE WATER; ALTIMETER DATA; CURRENT SYSTEM; HEAT FLUXES; CIRCULATION; THERMOCLINE; TOPEX/POSEIDON</t>
  </si>
  <si>
    <t>A warm core ring in the southeast Atlantic, previously thought to have come from the Brazil-Falklands (Malvinas) confluence. is traced back to the Agulhas retroflection. The path of this ring, sampled at 36 degrees S, 4 degrees E on 23 January 1993 during the World Ocean Circulation Experiment one-time hydrographic section All, is resolved using a combination of satellite altimeter data from ERS-1 and TOPEX/POSEIDON and infrared radiometer data from ERS-1's Along Track Scanning Radiometer (ATSR). The ERS-1 35-day repeat and the TOPEX/POSEIDON 10-day repeat altimeter-derived sea surface height anomalies are combined and used to trace the ring back to 40 degrees S, 10 degrees E at the beginning of the ERS-1 35-day repeat mission in April 1992 when it had a sea surface height anomaly in excess of 50 cm. This anomaly in this part of the ocean is too large to be associated with a ring formed anywhere other than the Agulhas retroflection. The ring is identified in coincident 35-day altimetry fields and in a monthly average of ATSR sea surface temperature data in August 1992. That this anomaly was observed in the ATSR data indicates that the ring has not overwintered: the age and speed since formation inferred from this precludes formation outside of the Agulhas retroflection region. Using ATSR data prior to April 1992 and altimetry data from ERS-1's 3-day repeat, this ring is traced back to the Agulhas retroflection where it formed in October 1991. The ring was unlike any previously sampled ring in this region, as it had a homogeneous core between 100 and 550 db, potential temperature 13 degrees C, salinity 35.2 psu and potential density 26.55. This water lay on the same potential temperature-salinity (theta-S) curve as the water within a typical Agulhas ring sampled a few days later. The peak velocity measured within the ring by an acoustic Doppler current profiler at 200 m was 58 cm s(-1). This velocity was similar to other Agulhas rings, but higher than the velocities measured in rings originating in the Brazil-Falklands (Malvinas) confluence region. The high oxygen and low nutrient concentrations (relative to typical Agulhas water) and theta-S characteristics of the core of the anomalous ring were consistent with a mode water that forms in the subantarctic zone of the southwest Indian Ocean. subantarctic mode water (SAMW). The type of SAMW detected in the anomalous ring has been observed forming by deep convection in the subantarctic zone at 60 degrees E. Ar this longitude water is readily subducted from the subantarctic zone into a pronounced and compact anticyclonic gyre in the western south Indian Ocean. A particle tracing experiment in the mean velocity held of the Fine Resolution Antarctic Model showed that it would take eight years (within a factor of 2) for water to recirculate from near 40 degrees S, 60 degrees E into the Agulhas retroflection in this compact gyre. Once in the retroflection, the SAMW is available to be pinched off into rings.</t>
  </si>
  <si>
    <t>e.mcdonagh@uea.ac.uk</t>
  </si>
  <si>
    <t>Heywood, Karen/L-1757-2016</t>
  </si>
  <si>
    <t>Heywood, Karen/0000-0001-9859-0026; McDonagh, Elaine/0000-0002-8813-4585</t>
  </si>
  <si>
    <t>45 BEACON ST, BOSTON, MA 02108-3693, UNITED STATES</t>
  </si>
  <si>
    <t>10.1175/1520-0485(1999)029&lt;2050:TOOAAR&gt;2.0.CO;2</t>
  </si>
  <si>
    <t>WOS:000082607500010</t>
  </si>
  <si>
    <t>Smith, WO; Nelson, DM; Mathot, S</t>
  </si>
  <si>
    <t>Phytoplankton growth rates in the Ross Sea, Antarctica, determined by independent methods: temporal variations</t>
  </si>
  <si>
    <t>ICE-EDGE ZONE; WEDDELL SEA; PRIMARY PRODUCTIVITY; ORGANIC-CARBON; BLOOM DYNAMICS; CELL-DIVISION; SARGASSO-SEA; OCEAN; NITROGEN; CULTURES</t>
  </si>
  <si>
    <t>The development of the seasonal phytoplankton bloom in the Ross Sea was studied during two cruises. The first, conducted in November-December 1994, investigated the initiation and rapid growth of the bloom, whereas the second (December 1995-January 1996) concentrated on the bloom's maximum biomass period and the subsequent decline in biomass. Central to the understanding of the controls of growth and the summer decline of the bloom is a quantitative assessment of the growth rate of phytoplankton. Growth rates were estimated over two time scales with different methods. The first estimated daily growth rates from isotopic incorporation under simulated in situ conditions, including C-14, N-15 and Si-32 uptake measurements combined with estimates of standing stocks of particulate organic carbon, nitrogen and biogenic silica. The second method used daily to weekly changes in biomass at selected locations, with net growth rates being estimated from changes in standing stocks of phytoplankton. In addition, growth rates were estimated in large-volume experiments under optimal irradiances. Growth rates showed distinct temporal patterns. Early in the growing season, short-term estimates suggested that growth rates of in situ assemblages were less than maximum (relative to the temperature-limited maximum) and were likely reduced due to low irradiance regimes encountered under the ice. Growth rates increased thereafter and appeared to reach their maximum as biomass approached the seasonal peak, but decreased markedly in late December. Differences between the two major taxonomic groups present were also noted, especially from the isotopic tracer experiments. The haptophyte Phaeocystis antarctica was dominant in 1994 throughout the growing season, and it exhibited the greatest growth rates (mean 0.41 day(-1)) during spring. Diatom standing stocks were low early in the growing season, and growth rates averaged 0.10 day(-1). In summer, diatoms were more abundant, but their growth rates remained much lower (mean of 0.08 day(-1)) than the potential maximum. Understanding growth rate controls is essential to the development of predictive models of the carbon cycle and food webs in Antarctic waters.</t>
  </si>
  <si>
    <t>Virginia Inst Marine Sci, Coll William &amp; Mary, Gloucester Point, VA 23062 USA; Oregon State Univ, Coll Ocean &amp; Atmospher Sci, Corvallis, OR 97331 USA</t>
  </si>
  <si>
    <t>William &amp; Mary; Virginia Institute of Marine Science; Oregon State University</t>
  </si>
  <si>
    <t>Virginia Inst Marine Sci, Coll William &amp; Mary, Gloucester Point, VA 23062 USA.</t>
  </si>
  <si>
    <t>10.1093/plankt/21.8.1519</t>
  </si>
  <si>
    <t>225YU</t>
  </si>
  <si>
    <t>WOS:000081994200008</t>
  </si>
  <si>
    <t>Bosch, I; Slattery, M</t>
  </si>
  <si>
    <t>Costs of extended brood protection in the Antarctic sea star, Neosmilaster georgianus (Echinodermata: Asteroidea)</t>
  </si>
  <si>
    <t>SNAIL ARIANTA-ARBUSTORUM; ENERGETIC COMPOSITION; MARINE-INVERTEBRATES; LEPTOSYNAPTA-CLARKI; LARVAL DEVELOPMENT; EGG CANNIBALISM; REPRODUCTION; RECRUITMENT; ALLOCATION; EVOLUTION</t>
  </si>
  <si>
    <t>Changes in size, morphology, and biochemical composition in adults and embryos of a brooding sea star, Neosmilaster georgianus (Sladen), were studied in a population adjacent to Anvers Island, Antarctic Peninsula (64 degrees 46'S; 64 degrees 04'W) during the austral spring, 1991. Five morphological stages of development were designated in 24 broods, and for each the weight and biochemical composition of the brooding adults and their embryos were determined. Between Stage 1 and 2, the dry weight (dw) and organic weight (ow) of the embryo did not change. From Stage 2 to 3, the dw and ow increased significantly by 10%. Stage 2 and 3 embryos were in clusters of a few (2 to 10) to as many as 40 individuals. In the smaller clusters, individual embryos were attached by tissue cords to another, sometimes atrophied, brood member. In the larger clusters, they were attached to a central mass of tissue containing remnants of embryos. We interpret these interactions as a form of cannibalism which may account for the weight gains between Stage 2 and 3. During Stages 4 and 5, as juvenile form was approached, the dw and ash weight of the young increased significantly and the ow decreased significantly. The calculated energy content for the juvenile (Stage 5) was not significantly different from the energy content of the earliest undifferentiated stage (Stage 1), an indication that most of the organic matter in the egg is the primary contribution to the large juvenile. In brooding females, pyloric caeca indices declined by 52% from Stage 1 to Stage 5 and pyloric energy stores declined by 63% due to proportionately equivalent declines in protein and lipid. The ovary index was low and increased only slightly during brood protection, while the size of the largest oocytes remained approximately 23% that of ova. Energy stores in the pyloric caeca of brooding N. georgianus thus become depleted over a long period of incubation during which the adults apparently starve. This may delay oocyte development and ultimately limit the frequency of individual reproduction.</t>
  </si>
  <si>
    <t>SUNY Coll Geneseo, Coll Geneseo, Dept Biol, Geneseo, NY 14454 USA; Univ Mississippi, Dept Pharmacognosy, University, MS 38677 USA; Univ Mississippi, Sch Pharm, Pharmaceut Sci Res Inst, Natl Ctr Dev Nat Prod, University, MS 38677 USA</t>
  </si>
  <si>
    <t>State University of New York (SUNY) System; SUNY Geneseo; University of Mississippi; University of Mississippi</t>
  </si>
  <si>
    <t>SUNY Coll Geneseo, Coll Geneseo, Dept Biol, 1 Coll Circle, Geneseo, NY 14454 USA.</t>
  </si>
  <si>
    <t>10.1007/s002270050561</t>
  </si>
  <si>
    <t>231FR</t>
  </si>
  <si>
    <t>WOS:000082297900006</t>
  </si>
  <si>
    <t>Pakhomov, EA; Froneman, PW</t>
  </si>
  <si>
    <t>Macroplankton/micronekton dynamics in the vicinity of the Prince Edward Islands (Southern Ocean)</t>
  </si>
  <si>
    <t>ANTARCTIC MARION ISLAND; MIGRATING ZOOPLANKTON; PYGOSCELIS-PAPUA; EUKROHNIA-HAMATA; SAGITTA-GAZELLAE; AUSTRAL SUMMER; ARCHIPELAGO; COMMUNITIES; TOPOGRAPHY; PREDATION</t>
  </si>
  <si>
    <t>Combined trawling (rectangular midwater trawl, RMT-8 net) and acoustic (120 kHz) surveys in the upstream and downstream region of the Prince Edward Islands were undertaken during April and May 1996 and 1997. A total of 49 species of macroplankton and micronekton were encountered within the region investigated. Mesopelagic fishes, euphausiids, chaetognaths and tunicates dominated numerically and by biomass. Average abundance and biomass of macroplankton/micronekton in the top 300 m layer were low, 18 individuals 1000 m(-3) and 288 mg dry wt 1000 m(-3), respectively. Numerical analysis revealed the presence of two major groups of stations broadly corresponding to the offshore (upstream and downstream) and inshore (interisland) realms. Planktonic samples and acoustic measurements revealed that elevated densities of macroplankton/micronekton were associated with the subantarctic front region and in close proximity to the island plateau. Based on trawling and acoustic survey results, it is suggested that large plankton and micronekton are mostly washed around rather than across the inter-island shelf region. This is in contrast with the replenishing hypothesis previously proposed for this region by other investigators.</t>
  </si>
  <si>
    <t>Rhodes Univ, Dept Zool &amp; Entomol, So Ocean Grp, POB 94, ZA-6140 Grahamstown, South Africa.</t>
  </si>
  <si>
    <t>zoep@warthog.ru.ac.za</t>
  </si>
  <si>
    <t>Froneman, William/C-9085-2012; Froneman, William/GLS-0460-2022</t>
  </si>
  <si>
    <t>Froneman, William/0000-0003-0615-1355</t>
  </si>
  <si>
    <t>10.1007/s002270050566</t>
  </si>
  <si>
    <t>WOS:000082297900011</t>
  </si>
  <si>
    <t>Gibson, JAE; Trull, TW</t>
  </si>
  <si>
    <t>Annual cycle of fCO2 under sea-ice and in open water in Prydz Bay, East Antarctica</t>
  </si>
  <si>
    <t>carbon dioxide fugacity; Prydz Bay; East Antarctica; Southern Ocean; Antarctic Winter Water; gas exchange; dissolved inorganic carbon; pH; nutrients; chlorophyll</t>
  </si>
  <si>
    <t>CARBON-DIOXIDE; SOUTHERN-OCEAN; PARTIAL-PRESSURE; SURFACE WATERS; SEAWATER; CO2; OXYGEN; SUMMER; SYSTEM; REGION</t>
  </si>
  <si>
    <t>The annual cycle of dissolved nutrients and the fugacity of CO2 (fCO(2)), calculated from the concentration of dissolved inorganic carbon (DIC) and pH, was studied over a 14-month long period (December 1993 to February 1995) at a site in Prydz Bay near Davis Station, Vestfold Hills, East Antarctica. Significant spring decreases in fCO(2) began under the sea-ice in mid-October, when both water column and sea-ice algal activity resulted in the removal of nutrients and DIC and increased pH. Minimum fCO(2) (&lt;100 mu atm) and lowest nutrient and DIC concentrations occurred in December and January. The low summer fCO(2) values were clearly the result of biological activity. The seasonal depletion of dissolved nitrate reached 85% in mid-summer when chlorophyll-a concentrations exceeded 15 mg m(-3). Oceanic uptake of carbon dioxide from the atmosphere, calculated from the fugacity difference and daily wind speeds, averaged more than 30 mmol m(-2) day(-1) during the summer ice-free period. This exchange replaced approximately half of the DIC consumed by biological activity. Apparent nutrient utilisation ratios (C/N/P) were close to Redfield values. In autumn fCO(2) began to rise, continuing slowly well into winter, and reaching a maximum close to modern atmospheric values between July and September. This increase can be attributed to a combination of local remineralisation of organic carbon in the water column and the steady increase in the mixing depth of the water column. At first glance, this suggests that air-sea equilibration occurred in winter despite the sea-ice cover, perhaps by horizontal circulation from regions outside the pack ice, or through openings in the ice. However, the persistent 15 to 20% undersaturation of dissolved oxygen throughout the winter suggests an alternate explanation. The late winter fCO(2) level may represent a characteristic established by global circulation, so that as a result of increasing atmospheric CO2 concentrations, these Antarctic waters are in transition from being a winter-time source of CO2 to the atmosphere to becoming a sink. Our fCO(2) observations emphasize the need to address seasonal variations in assessing Antarctic contributions to the oceanic control of atmospheric CO2. (C) 1999 Elsevier Science B.V. All rights reserved.</t>
  </si>
  <si>
    <t>Australian Antarctic Div, Kingston, Tas 7050, Australia; Univ Tasmania, Antarct CRC, Hobart, Tas 7001, Australia</t>
  </si>
  <si>
    <t>Australian Antarctic Division; University of Tasmania</t>
  </si>
  <si>
    <t>Univ Laval, Dept Biol, Ste Foy, PQ G1K 7P4, Canada.</t>
  </si>
  <si>
    <t>john.gibson@etu.bio.ulaval.ca</t>
  </si>
  <si>
    <t>10.1016/S0304-4203(99)00040-7</t>
  </si>
  <si>
    <t>229GN</t>
  </si>
  <si>
    <t>WOS:000082185300005</t>
  </si>
  <si>
    <t>Land, LA; Paull, CK; Spiess, FN</t>
  </si>
  <si>
    <t>Abyssal erosion and scarp retreat: Deep Tow observations of the Blake Escarpment and Blake Spur</t>
  </si>
  <si>
    <t>abyssal plains; bottom currents; carbonate platforms; cliffs; continental margins; erosion</t>
  </si>
  <si>
    <t>ALTERNATIVE HYPOTHESIS; ORIGIN; SEA; SEDIMENTATION; CIRCULATION; HYDROGRAPHY; ATLANTIC; WATER; OCEAN</t>
  </si>
  <si>
    <t>Deep Tow surveys conducted at two sites at the base of the Blake Spur and Blake Escarpment serve to delineate the contact between Mesozoic platform carbonates of the Blake Plateau and adjacent abyssal strata. The continental margin in the surveyed areas consists of steep limestone cliffs and headlands with over 2 km of relief. This extreme topography distorts the hydrographic structure of the water column and intensifies abyssal current flow in the surveyed areas. Significant lateral scarp retreat is indicated by the presence of broad, nearly horizontal benches of Mesozoic limestone presently exposed at the base of the Blake Spur and Escarpment in 4.5-5 km water depth; and by angular, apparently truncated limestone ledges that crop out on the cliff face. At the Blake Spur, the contact between Mesozoic platformal limestones and basinal Tertiary strata does not occur directly at the foot of the cliff, but is exposed on the abyssal plain within a 50 m deep erosional moat. Here, strong (&gt; 2 knots) south-flowing bottom currents occur within 100 In of the sea floor. The coincidence of this vigorous current flowing within the moat near the base of the escarpment and the eroded character of the sea floor suggests that currents are an important mechanism in sculpting this abyssal headland and contributing to lateral scarp retreat. Similar erosional processes are indicated along the Blake Escarpment near 29 degrees 03'N, where the relatively straight cliff, face is interrupted by occasional steep-walled box canyons. On the headland between the canyons, the Mesozoic outcrop projects into the Blake-Bahama Basin for several kilometers as a broad, arcuate:, gently-sloping bench. These outcropping benches of Mesozoic strata at the base of the escarpment are analogous to larger-scale buried benches observed in the subsurface that were formed by pre-Miocene erosion. Neogene and Quaternary scarp retreat is suggested by the location of the contact between Mesozoic rocks and younger strata seaward of the steeper cliff face, and is probably the result of current-induced erosion. Focused erosion may be facilitated by the presence of a thin (similar to 50 m) filament of corrosive Antarctic Bottom Water (AABW) that flows vigorously along the base of the cliff at both sites. The recessed position of the canyons shelters them from the main flow of this abyssal current, but the steepness and morphology of the canyon walls suggest that additional unidentified erosional processes are focused at the canyon heads. (C) 1999 Elsevier Science B.V. All rights reserved.</t>
  </si>
  <si>
    <t>Univ N Carolina, Dept Geol, Chapel Hill, NC 27599 USA; Univ Calif San Diego, Scripps Inst Oceanog, Marine Phys Lab, La Jolla, CA 92093 USA</t>
  </si>
  <si>
    <t>University of North Carolina; University of North Carolina Chapel Hill; University of California System; University of California San Diego; Scripps Institution of Oceanography</t>
  </si>
  <si>
    <t>Univ N Carolina, Dept Geol, CB 3315 Mitchell Hall, Chapel Hill, NC 27599 USA.</t>
  </si>
  <si>
    <t>laland@geosci.unc.edu</t>
  </si>
  <si>
    <t>10.1016/S0025-3227(99)00012-2</t>
  </si>
  <si>
    <t>214VA</t>
  </si>
  <si>
    <t>WOS:000081347200004</t>
  </si>
  <si>
    <t>Harland, R; Pudsey, CJ</t>
  </si>
  <si>
    <t>Dinoflagellate cysts from sediment traps deployed in the Bellingshausen, Weddell and Scotia seas, Antarctica</t>
  </si>
  <si>
    <t>dinoflagellate cysts; modern; sediment traps; Antarctica; biogeography</t>
  </si>
  <si>
    <t>ATLANTIC-OCEAN; INDIAN-OCEAN; TEMPORAL VARIABILITY; MICROBIAL COMMUNITY; CIRCUMPOLAR CURRENT; SURFACE SEDIMENTS; MARINE-SEDIMENTS; BOTTOM SEDIMENT; PACIFIC MARGIN; PARTICLE-FLUX</t>
  </si>
  <si>
    <t>Dinoflagellate cysts have been recovered from six long-term (1-2 yr) sediment trap moorings deployed in the Bellingshausen, Weddell and Scotia seas, Antarctica. These traps, mostly moored near the sea bed to sample the nepheloid layer, were located both within and to the north of the maximum sea-ice limit. The numbers of cysts, together with the composition of the assemblages, reinforce the importance of the maximum sea-ice limit as a modern biogeographic boundary for the distribution of dinoflagellate cysts. Cysts derived from heterotrophic dinoflagellates make up the highest proportions within the assemblages recovered from the traps. One trap sampled the export production, revealing little difference in cyst flux over those sampling the nepheloid layer. Cyst Bur appears to be highest in areas closest to the Antarctic Convergence, north of the maximum sea-ice limit, and to high nutrient availability. There are, however, differences between the sediment trap assemblages and those recovered from core-top samples at the same or nearby sites. These differences, in the greater number of cysts, and in the higher numbers of round, brown Protoperidinium cysts in the traps, may reflect annual differences in the primary productivity and/or cyst production in the area. In some areas the sediment record may preserve little information about local surface water productivity because of the activity of bottom water currents, for example those arising from the Antarctic Circumpolar Current. (C) 1999 Elsevier Science B.V. All rights reserved.</t>
  </si>
  <si>
    <t>DinoData Serv, Nottingham NG13 8AH, England; Univ Sheffield, Dept Earth Sci, Ctr Palynol, Sheffield S3 7HF, S Yorkshire, England; British Antarctic Survey, Cambridge CB3 0ET, England</t>
  </si>
  <si>
    <t>10.1016/S0377-8398(99)00016-X</t>
  </si>
  <si>
    <t>226VW</t>
  </si>
  <si>
    <t>WOS:000082044200001</t>
  </si>
  <si>
    <t>Brandt, A; Crame, JA; Polz, H; Thomson, MRA</t>
  </si>
  <si>
    <t>Late Jurassic tethyan ancestry of recent southern high-latitude marine isopods (Crustacea, Malacostraca)</t>
  </si>
  <si>
    <t>PALAEONTOLOGY</t>
  </si>
  <si>
    <t>MINERALIZATION</t>
  </si>
  <si>
    <t>Isopods are one of the key marine groups that radiated extensively in the southern high-latitude regions, and it is widely assumed that they did so essentially through the Cenozoic era. Nevertheless, palaeontological evidence is now beginning to accumulate which suggests that some at least of the key isopod taxa may be of considerably greater antiquity. In particular, Schweglerella strobli Polz from the Early Tithonian Plattenkalk of Solnhofen, southern Germany indicates that the suborder Sphaeromatidea is of at least Late Jurassic ancestry, and possibly much older. Schweglerella strobli is phylogenetically close to both the Bathynataliidae and Serolidae, but is here placed in a new family, Schweglerellidae. Like the decapods, the early phylogenetic history of the isopuds may be characterized by a considerable macroevolutionary lag. Perhaps a number of major marine invertebrate groups underwent a Mesozoic phase of widespread dispersal when the Pangaean margins were still largely intact and climates globally more equable? The subsequent radiation of groups such as the sphaeromatidean isopods may have been largely contingent upon the: Cenozoic thermal isolation of the Southern Ocean.</t>
  </si>
  <si>
    <t>Univ Hamburg, Zool Inst &amp; Museum, D-20146 Hamburg, Germany; British Antarctic Survey, Cambridge CB3 0ET, England</t>
  </si>
  <si>
    <t>University of Hamburg; UK Research &amp; Innovation (UKRI); Natural Environment Research Council (NERC); NERC British Antarctic Survey</t>
  </si>
  <si>
    <t>Univ Hamburg, Zool Inst &amp; Museum, Martin Luther King Pl 3, D-20146 Hamburg, Germany.</t>
  </si>
  <si>
    <t>0031-0239</t>
  </si>
  <si>
    <t>1475-4983</t>
  </si>
  <si>
    <t>10.1111/1475-4983.00090</t>
  </si>
  <si>
    <t>238QW</t>
  </si>
  <si>
    <t>WOS:000082722500005</t>
  </si>
  <si>
    <t>Palm, HW</t>
  </si>
  <si>
    <t>Ecology of Pseudoterranova decipiens (Krabbe, 1878) (Nematoda: Anisakidae) from Antarctic waters</t>
  </si>
  <si>
    <t>PARASITOLOGY RESEARCH</t>
  </si>
  <si>
    <t>WEDDELL SEA; SEALWORM; FISH; LARVAE; ASCARIDOIDEA; TRANSMISSION; EGGS; PARASITES; INFECTION</t>
  </si>
  <si>
    <t>The present study provides further data on the occurrence of Pseudoterranova decipiens in fish from two different sampling sites in the Antarctic. A total of 690 fish belonging to 33 species from the eastern Weddell Sea and 322 fish belonging to 12 species from the South Shetland Islands were examined. Altogether, 23 fish species were found to be infested and 11 new host records could be established. P. decipiens occurred at a water depth of between 80 and 820 m. Chaenocephalus aceratus and Notothenia coriiceps from the South Shetland Islands were the species with the highest prevalence (95%) and intensity (2-194 and 1-121, respectively) of infestation. Both are transport hosts, which mainly feed on benthic nototheniid fish species and accumulate the nematodes. Bathypelagic, pelagic, or mainly euphausid feeding fish species were only lightly infested, if at all. This demonstrates the benthic life cycle of P. decipiens in the Antarctic. The preferred site of infestation was the body cavity and the liver; no specimen could be isolated from the fish musculature. This might bit explained by the low water temperatures. The infestation of fish from the Weddell Sea was distinctly lower than that of fish around the South Shetland Islands. Besides possible differences in final host populations at the two localities studied, the loss of eggs and larvae under the eastern Weddell Sea shelf ice and over the continental slope and differences in the availability of the first intermediate and macroinvertebrate hosts led to a lower level of infestation. Another role, although nondecisive, may be played by the reduced time of development and infectivity of eggs and larvae, respectively, in the extremely cold waters of the Weddell Sea. P. decipiens is not a rare but, rather a well-established parasite of the Antarctic fauna, which demonstrates the ability of this cosmopolitan species to complete its life cycle even under conditions of subzero temperatures.</t>
  </si>
  <si>
    <t>Univ Kiel, Inst Meereskunde, Dept Fisheries Biol, Marine Pathol Grp, D-24105 Kiel, Germany</t>
  </si>
  <si>
    <t>Palm, HW (corresponding author), Univ Kiel, Inst Meereskunde, Dept Fisheries Biol, Marine Pathol Grp, Dusternbrooker Weg 20, D-24105 Kiel, Germany.</t>
  </si>
  <si>
    <t>0044-3255</t>
  </si>
  <si>
    <t>PARASITOL RES</t>
  </si>
  <si>
    <t>Parasitol. Res.</t>
  </si>
  <si>
    <t>8-9</t>
  </si>
  <si>
    <t>10.1007/s004360050608</t>
  </si>
  <si>
    <t>Parasitology</t>
  </si>
  <si>
    <t>213ZH</t>
  </si>
  <si>
    <t>WOS:000081302800004</t>
  </si>
  <si>
    <t>Siili, T; Haberle, RM; Murphy, JR; Savijärvi, H</t>
  </si>
  <si>
    <t>Modelling of the combined late-winter ice cap edge and slope winds in Mars' Hellas and Argyre regions</t>
  </si>
  <si>
    <t>PLANETARY AND SPACE SCIENCE</t>
  </si>
  <si>
    <t>ANTARCTIC KATABATIC WINDS; HIGH SOUTHERN LATITUDES; POLAR-CAP; MESOSCALE CIRCULATIONS; MARTIAN ATMOSPHERE; THERMAL INERTIA; ALBEDO; FLOW</t>
  </si>
  <si>
    <t>Towards the end of southern hemisphere winter (L-s approximate to 180 degrees) the Martian southern polar cap extends equatorward to 40 degrees S and covers at least, the southern slopes of the Hellas and Argyre impact basins. Subsequently, during retreat of the seasonal ice cap, varying configurations of ice coverage on these slopes occur. Since both sloping topography and ice-edge effects can independently drive mesoscale circulations, the superposition of these two processes may then generate interesting wind patterns. A set of numerical experiments has been performed with the University of Helsinki 2-D Mars Mesoscale Circulation Model (MMCM) in order to study the characteristics of circulations driven by these combined forcings. A model-centre latitude of 57 degrees S and a slope angle of 0.6 degrees, both representative of Hellas' southern slope, are used. When compared with the winds arising in the ice-free slope case, ice coverage in the upper extent of the slope results in diminished upslope (daytime) winds, while the down-slope (nighttime) flow is enhanced. Ice coverage in the lower section of the slope in turn causes enhanced upslope (daytime) and attenuated downslope (nocturnal) flows. This arises due to the daytime off-ice near-surface flow induced by the thermal contrast at the ice cap edge. The surface winds are persistently downslope over a fully ice-covered slope. Inclusion of atmospheric dust ( tau = 0.3) reduces the ice-edge forcing. In comparison with the dust-free situation, the resulting circulation is almost unchanged in the case of ice-covered upper part of the slope, in the opposite case the daytime flow is attenuated and the nocturnal downslope flow enhanced. When the entire slope is ice-covered, the flow is amplified due to the increased direct atmospheric heating. Inclusion of a large scale circulation component (7 m/s southerly wind) in conjunction with an ice-covered slope top results in the generation of a downslope windstorm (fohn, or bora-type of event) with near surface winds exceeding 30 m/s. Winds of this magnitude, not realised in any of the other experiments, approach speeds deemed capable of lifting dust from the surface. (C) 1999 Elsevier Science Ltd. All rights reserved.</t>
  </si>
  <si>
    <t>Finnish Meteorol Inst, Geophys Res Div, FIN-00101 Helsinki, Finland; NASA, Ames Res Ctr, Moffett Field, CA 94035 USA; New Mexico State Univ, Dept Astron, Las Cruces, NM 88003 USA; Univ Helsinki, Dept Meteorol, FIN-00014 Helsinki, Finland</t>
  </si>
  <si>
    <t>Finnish Meteorological Institute; National Aeronautics &amp; Space Administration (NASA); NASA Ames Research Center; New Mexico State University; University of Helsinki</t>
  </si>
  <si>
    <t>Siili, T (corresponding author), Finnish Meteorol Inst, Geophys Res Div, POB 503, FIN-00101 Helsinki, Finland.</t>
  </si>
  <si>
    <t>0032-0633</t>
  </si>
  <si>
    <t>PLANET SPACE SCI</t>
  </si>
  <si>
    <t>Planet Space Sci.</t>
  </si>
  <si>
    <t>AUG-SEP</t>
  </si>
  <si>
    <t>10.1016/S0032-0633(99)00016-1</t>
  </si>
  <si>
    <t>230CK</t>
  </si>
  <si>
    <t>WOS:000082234100002</t>
  </si>
  <si>
    <t>Unrein, F; Vinocur, A</t>
  </si>
  <si>
    <t>Phytoplankton structure and dynamics in a turbid Antarctic Lake (Potter Peninsula, King George Island)</t>
  </si>
  <si>
    <t>FRESH-WATER ECOSYSTEMS; HOPE-BAY; EPILITHIC ALGAE; SIGNY ISLAND; PICOPLANKTON; STREAM; PRODUCTIVITY; ASSEMBLAGES; CRUSTACEA; CHEMISTRY</t>
  </si>
  <si>
    <t>Qualitative and quantitative changes in the freshwater phytoplankton from one of the largest lakes in Potter Peninsula were studied during the summer period of 1995/1996. The main limnological features were analysed. This research constitutes the first study dealing with the phytoplankton structure and dynamics from lakes in Potter Peninsula. Due to the mixing of the water column by the constant wind action during the ice-free period, neither physical, chemical nor biological parameters showed differences between depths. Soluble reactive phosphorus remained low (26 mu g l(-1)) while total phosphorus concentrations were up to 232 mu g l(-1). Suspended solids and total phosphorus differed significantly between the two basins in which the lake is divided. Sixty-five taxa were identified. The Bacillariophyceae was the dominant class followed by Chrysophyceae. Achnanthes lanceolata var. haynaldii and Hydrurus foetidus (cysts) were the dominant species. Tychoplanktonic species were the best represented in terms of abundance and species richness. The principal component analysis carried out with abiotic variables showed a temporal gradient characterised by the augmentation of suspended solids, total phosphorus, conductivity, pH and NH4-N to the end of the summer period. The Principal Component Analysis performed with biotic variables also showed a temporal trend related to a decline in phytoplankton density and an enhancement of chlorophyll-a despite a slight increase of light limitation during the study period. This inverse relation may be due to the presence of picoplankton in chlorophyll-a samples. The potential effect of grazing on the phytoplankton structure is a subject to be tested in future studies.</t>
  </si>
  <si>
    <t>Univ Buenos Aires, Fac Ciencias Exactas &amp; Nat, Dept Ciencias Biol, RA-1428 Buenos Aires, DF, Argentina</t>
  </si>
  <si>
    <t>Unrein, F (corresponding author), Univ Buenos Aires, Fac Ciencias Exactas &amp; Nat, Dept Ciencias Biol, Ciudad Univ,Pab 2, RA-1428 Buenos Aires, DF, Argentina.</t>
  </si>
  <si>
    <t>Unrein, Fernando/0000-0002-8592-1858</t>
  </si>
  <si>
    <t>10.1007/s003000050395</t>
  </si>
  <si>
    <t>223PW</t>
  </si>
  <si>
    <t>WOS:000081850300004</t>
  </si>
  <si>
    <t>Hindell, MA; Brothers, N; Gales, R</t>
  </si>
  <si>
    <t>Mercury and cadmium concentrations in the tissues of three species of southern albatrosses</t>
  </si>
  <si>
    <t>WANDERING ALBATROSSES; SATELLITE TRACKING; DIOMEDEA-EXULANS; SEABIRDS; SEA; ATLANTIC; MORTALITY; AUSTRALIA; OCEAN; BIRDS</t>
  </si>
  <si>
    <t>Cadmium and mercury concentrations were measured in the tissues of 64 individual albatrosses [23 wandering albatrosses (Diomedea exulans), 9 royal albatrosses (Diomedea epomophora) and 32 shy albatrosses (Thakassarche cauta)] which were killed as by-catch in longline fishing activities between 1991 and 1994. Mercury concentrations were also determined for 33 shy albatross eggs (excluding shells). The birds were all sexed and assigned to one of two age classes (immature and adult). The three species exhibited differences both in overall concentrations of cadmium and mercury, and also in the pattern of accumulation of metals with age and sex. Wandering albatrosses exhibited the highest mercury concentrations with a mean concentration in adult liver samples of 920.0 +/- 794.1 mu g g(-1) dry weight. Shy albatrosses had the lowest mercury concentrations with mean concentrations in adult livers of 36.3 +/- 21.4 mg g(-1) dry weight. The highest mercury concentration was 1800 mu g g(-1) for an adult female wandering albatross. Cadmium concentrations were less variable, with adult royal albatrosses having the highest average concentrations (180.0 +/- 165.0 in adult kidneys) and adult shy albatrosses the lowest (40.1 +/- 20.0 in adult kidney). The highest individual cadmium concentration was 287 mu g g(-1) for a juvenile wandering albatross. There was no evidence of increased accumulation of cadmium with age in any of the species, but wandering albatrosses showed higher mercury concentrations in adults than juveniles. Female wandering albatrosses also had significantly higher mercury concentrations than males. The mercury contents of the shy albatross eggs were very low, with a maximum concentration of 5.4 mu g g(-1). The results of this study are consistent with the findings of previous work on albatrosses and support the notion that the life-history strategy of these species (i.e. long-lived with low reproductive output) may be an important determinant in the concentrations of some metals found in their tissues.</t>
  </si>
  <si>
    <t>Univ Tasmania, Dept Zool, Antarctic Wildlife Res Unit, Hobart, Tas 7001, Australia; Dept Environm &amp; Land Management, Pk &amp; Wildlife Serv, Hobart, Tas 7001, Australia</t>
  </si>
  <si>
    <t>University of Tasmania</t>
  </si>
  <si>
    <t>Hindell, MA (corresponding author), Univ Tasmania, Dept Zool, Antarctic Wildlife Res Unit, POB 252C, Hobart, Tas 7001, Australia.</t>
  </si>
  <si>
    <t>Hindell, Mark A/C-8368-2013; Hindell, Mark A/K-1131-2013</t>
  </si>
  <si>
    <t>Hindell, Mark/0000-0002-7823-7185</t>
  </si>
  <si>
    <t>10.1007/s003000050396</t>
  </si>
  <si>
    <t>WOS:000081850300005</t>
  </si>
  <si>
    <t>Brierley, AS</t>
  </si>
  <si>
    <t>A comparison of Antarctic euphausiids sampled by net and from geothermally heated waters: insights into sampling bias</t>
  </si>
  <si>
    <t>PRYDZ BAY-REGION; SOUTH GEORGIA; SUPERBA DANA; DECEPTION-ISLAND; KRILL; SWARMS; SIZE; SEABIRDS; POPULATIONS; VARIABILITY</t>
  </si>
  <si>
    <t>The Antarctic euphausiids Euphausia superba and E. crystallorophias were sampled using aln 8 m(2) rectangular midwater trawl inside the caldera of Deception Island. Specimens of the same species were collected on the same day from the strandline and sublittoral fringe within the caldera at a bay where these euphausiids had been incapacitated by high temperature geothermally heated waters. Differences between length frequency distributions of samples obtained by both methods were investigated once net-caught specimens had been subject to the simulated effects of geothermally heated waters. Differences between maturity stage/sex ratios for E. superba samples were also assessed. No significant differences between sizes of net-caught or beach-sampled E. crystallorophias were detected, but significant differences were found between both the sizes and sex/maturity stages for E. super ba samples. Possible explanations for these differences are discussed.</t>
  </si>
  <si>
    <t>Brierley, Andrew/G-8019-2011</t>
  </si>
  <si>
    <t>Brierley, Andrew/0000-0002-6438-6892</t>
  </si>
  <si>
    <t>10.1007/s003000050397</t>
  </si>
  <si>
    <t>WOS:000081850300006</t>
  </si>
  <si>
    <t>Fabiano, M; Danovaro, R</t>
  </si>
  <si>
    <t>Meiofauna distribution and mesoscale variability in two sites of the Ross Sea (Antarctica) with contrasting food supply</t>
  </si>
  <si>
    <t>PARTICULATE ORGANIC-MATTER; MEIOBENTHOS; COMMUNITIES; SEDIMENTS; TRANSECT</t>
  </si>
  <si>
    <t>Meiofauna abundance, biomass and community structure were investigated in two comparable deep sites of the Ross Sea (Antarctica) characterized by different trophic and sediment characteristics. Site B (567 m depth, dominated by muddy sediments) and site C (439 m depth, characterized by the presence of calcareous debris and coarse sand) were located at increasing distance from the polynyas and were subject to different inputs of organic material to the seabed. Total meiofauna abundance ranged from 192.0 to 1191.2 ind. 10 cm(-2), and total biomass varied between 9.5 and 50.3 mu gC 10 cm(-2). Meio-fauna densities from the Ross Sea are, on average, 2-7 times lower than those reported from other similar deep polar regions and displayed significant differences between the sites. Nematodes dominated the samples at both sites, but their relative significance changed between the sites (80% at site B and 56% at site C), followed by copepods (1.6% and 35% at sites B and C, respectively). Meiofauna composition at site B appeared similar to that reported for deep-sea antarctic or temperate sediments, whereas the composition at site C was similar to that of coastal areas. On a macroscale, the different inputs of utilizable organic material at the two sites were reflected in meiofaunal distribution patterns, indicating that meiofaunal communities from the Ross Sea are dependent on particulate organic matter fluxes from the photic layer and are coupled to pelagic phenomena. Very low microscale variations (i.e. between replicates) in meiofauna density contrasted with large mesoscale variability, which was related to the concentration of the main food indicators (phytopigments, proteins, carbohydrates and lipids).</t>
  </si>
  <si>
    <t>Univ Ancona, Fac Sci, Biol Marine Sect, I-60131 Ancona, Italy; Univ Genoa, Ist Sci Ambientali Marine, Genoa, Italy</t>
  </si>
  <si>
    <t>Marche Polytechnic University; University of Genoa</t>
  </si>
  <si>
    <t>Danovaro, R (corresponding author), Univ Ancona, Fac Sci, Biol Marine Sect, Via Brecce Bianche,Monte DAgo, I-60131 Ancona, Italy.</t>
  </si>
  <si>
    <t>10.1007/s003000050398</t>
  </si>
  <si>
    <t>WOS:000081850300007</t>
  </si>
  <si>
    <t>Kawaguchi, S; Ichii, T; Naganobu, M</t>
  </si>
  <si>
    <t>Green krill, the indicator of micro- and nano-size phytoplankton availability to krill</t>
  </si>
  <si>
    <t>EUPHAUSIA-SUPERBA; SOUTH GEORGIA</t>
  </si>
  <si>
    <t>Size-fractionated chlorophyll-a concentrations of surface seawater were measured for pico-, nano-, and micro-size fractions (&lt;2 mu m, 2-10 mu m, and &gt; 10 mu m respectively) during commercial krill fishery operations in the waters north of the South Shetland Islands. The proportion of green krill (individuals discoloured due to active feeding on phytoplankton) had significant regressions with chlorophyll-a concentrations in micro- and nano-size fractions. Between these two fractions, chlorophyll-a concentration in the micro-size fraction showed the higher partial regression coefficient. This result shows the importance of phytoplankton larger than nano-phytoplankton, especially micro-phytoplankton, in terms of a phytoplanktonic food source for Antarctic krill in the natural environment.</t>
  </si>
  <si>
    <t>Natl Res Inst Far Seas Fisheries, So Ocean Resources Res Sect, Shimizu, Shizuoka 424, Japan</t>
  </si>
  <si>
    <t>Japan Fisheries Research &amp; Education Agency (FRA)</t>
  </si>
  <si>
    <t>Kawaguchi, S (corresponding author), Natl Res Inst Far Seas Fisheries, So Ocean Resources Res Sect, 5-7-1 Orido, Shimizu, Shizuoka 424, Japan.</t>
  </si>
  <si>
    <t>Kawaguchi, So/N-1795-2017</t>
  </si>
  <si>
    <t>Kawaguchi, So/0000-0002-2042-5095</t>
  </si>
  <si>
    <t>10.1007/s003000050400</t>
  </si>
  <si>
    <t>WOS:000081850300009</t>
  </si>
  <si>
    <t>Imura, S; Bando, T; Saito, S; Seto, K; Kanda, H</t>
  </si>
  <si>
    <t>Benthic moss pillars in Antarctic lakes</t>
  </si>
  <si>
    <t>PRODUCTION ECOLOGY; PLANTS</t>
  </si>
  <si>
    <t>Unique pillar-like colonies of aquatic mosses, rising from cyanobacterial and algal mats, have been discovered in some freshwater lakes in the vicinity of Syowa Station (69 degrees 00'S, 39 degrees 35'E), continental Antarctica. These moss pillars are about 40 cm in diameter and up to 60 cm high and occur at the lake bottoms mainly between 3 and 5 m depth. The primary component is a species of Leptobryum, a genus unknown in the continental Antarctic terrestrial bryoflora and as an aquatic genus elsewhere in the world. Bryum pseudotriquetrum is often an associated species. In longitudinal section the pillars reveal several whitish layers formed by mineral sediment and dead cyanobacteria. It is speculated that the biomass of aquatic mosses at the bottom of many Antarctic lakes is considerably greater than that previously estimated.</t>
  </si>
  <si>
    <t>Natl Inst Polar Res, Itabashi Ku, Tokyo 1738515, Japan; Kyoto Univ Educ, Dept Biol, Fushimi Ku, Kyoto 6128522, Japan; Hirosaki Univ, Fac Educ, Dept Nat Sci, Hirosaki, Aomori 0368560, Japan; Shimane Univ, Interdisciplinary Fac Sci &amp; Engn, Dept Geosci, Matsue, Shimane 6908504, Japan</t>
  </si>
  <si>
    <t>Research Organization of Information &amp; Systems (ROIS); National Institute of Polar Research (NIPR) - Japan; Kyoto University of Education; Hirosaki University; Shimane University</t>
  </si>
  <si>
    <t>Imura, S (corresponding author), Natl Inst Polar Res, Itabashi Ku, 9-10 Kaga 1 Chome, Tokyo 1738515, Japan.</t>
  </si>
  <si>
    <t>10.1007/s003000050401</t>
  </si>
  <si>
    <t>WOS:000081850300010</t>
  </si>
  <si>
    <t>Tirelli, V; Mayzaud, P</t>
  </si>
  <si>
    <t>Gut evacuation rates of Antarctic copepods during austral spring (vol 21, pg 197, 1999)</t>
  </si>
  <si>
    <t>Observ Oceanol, CNRS, URA 2077, F-06230 Villefranche Sur Mer, France</t>
  </si>
  <si>
    <t>Centre National de la Recherche Scientifique (CNRS)</t>
  </si>
  <si>
    <t>Tirelli, V (corresponding author), Observ Oceanol, CNRS, URA 2077, BP 28, F-06230 Villefranche Sur Mer, France.</t>
  </si>
  <si>
    <t>Tirelli, Valentina/GPG-4131-2022</t>
  </si>
  <si>
    <t>Tirelli, Valentina/0000-0002-5152-2891</t>
  </si>
  <si>
    <t>WOS:000081850300012</t>
  </si>
  <si>
    <t>Solomon, S</t>
  </si>
  <si>
    <t>Stratospheric ozone depletion: A review of concepts and history</t>
  </si>
  <si>
    <t>REVIEWS OF GEOPHYSICS</t>
  </si>
  <si>
    <t>IN-SITU MEASUREMENTS; TOTAL REACTIVE NITROGEN; NITRIC-ACID TRIHYDRATE; ARCTIC POLAR VORTEX; NORTHERN-HEMISPHERE WINTER; ATMOSPHERIC ABSORPTION-MEASUREMENTS; AIRBORNE LIDAR OBSERVATIONS; SPRINGTIME ANTARCTIC OZONE; BALLOON-BORNE OBSERVATIONS; MICROWAVE LIMB SOUNDER</t>
  </si>
  <si>
    <t>Stratospheric ozone depletion through catalytic chemistry involving man-made chlorofluorocarbons is an area of focus in the study of geophysics and one of the global environmental issues of the twentieth century. This review presents a brief history of the science of ozone depletion and describes a conceptual framework to explain the key processes involved, with a focus on chemistry. Observations that may be considered as evidence (fingerprints) of ozone depletion due to chlorofluorocarbons are explored, and the related gas phase and surface chemistry is described. Observations of ozone and of chlorine-related trace gases near 40 km provide evidence that gas phase chemistry has indeed currently depleted about 10% of the stratospheric ozone there as predicted, and the vertical and horizontal structures of this depletion are fingerprints for that process. More striking changes are observed each austral spring in Antarctica, where about half of the total ozone column is depleted each September, forming the Antarctic ozone hole. Measurements of large amounts of ClO, a key ozone destruction catalyst, are among the finger- prints showing that human releases of chlorofluorocarbons are the primary cause of this change. Enhanced ozone depletion in the Antarctic and Arctic regions is linked to heterogeneous chlorine chemistry that occurs on the surfaces of polar stratospheric clouds at cold temperatures. Observations also show that some of the same heterogeneous chemistry occurs on the surfaces of particles present at midlatitudes as well, and the abundances of these particles are enhanced following explosive volcanic eruptions. The partitioning of chlorine between active forms that destroy ozone and inert reservoirs that sequester it is a central part of the framework for our understanding of the 40-km ozone decline, the Antarctic ozone hole, the recent Arctic ozone losses in particularly cold years, and the observation of record midlatitude ozone depletion after the major eruption of Mount Pinatubo in the early 1990s. As human use of chlorofluorocarbons continues to decrease, these changes throughout the ozone layer are expected to gradually reverse during the twenty-first century.</t>
  </si>
  <si>
    <t>NOAA, Aeron Lab, Boulder, CO 80303 USA</t>
  </si>
  <si>
    <t>Solomon, S (corresponding author), NOAA, Aeron Lab, R-E-AL8,325 S Broadway, Boulder, CO 80303 USA.</t>
  </si>
  <si>
    <t>8755-1209</t>
  </si>
  <si>
    <t>REV GEOPHYS</t>
  </si>
  <si>
    <t>Rev. Geophys.</t>
  </si>
  <si>
    <t>10.1029/1999RG900008</t>
  </si>
  <si>
    <t>224ZT</t>
  </si>
  <si>
    <t>WOS:000081930700001</t>
  </si>
  <si>
    <t>Rodger, CJ</t>
  </si>
  <si>
    <t>Red sprites, upward lightning, and VLF perturbations</t>
  </si>
  <si>
    <t>TRANSIONOSPHERIC PULSE PAIRS; NIGHTTIME D-REGION; LOWER IONOSPHERE; SUBIONOSPHERIC TRANSMISSIONS; LUMINOUS STRUCTURES; AIRCRAFT CAMPAIGN; ELECTRIC-FIELDS; OPTICAL FLASHES; RAPID ONSET; BLUE JETS</t>
  </si>
  <si>
    <t>In the last decade there has been a great deal of interest in the detection and understanding of phenomena occurring above active thunderstorms. The discovery of the optical phenomena now termed red sprites is discussed, along with the properties that have been experimentally determined. Areas of disagreement between experimentalists are pointed out. Other optical and electromagnetic phenomena associated With red sprites are presented. These include blue jets, transiono-spheric pulse pairs, and gamma ray flashes. Particular attention is given to the work on perturbations on very low frequency radio wave transmissions (VLF sprites), which has provided estimates of the electrical properties of sprites. Research into activity above thunderstorms will continue to lead to a greater understanding of the coupling between thunderstorms in the troposphere to the stratosphere, mesosphere, ionosphere, and beyond.</t>
  </si>
  <si>
    <t>British Antarctic Survey, NERC, Upper Atmospher Sci Div, Cambridge CB3 0ET, England</t>
  </si>
  <si>
    <t>Rodger, CJ (corresponding author), British Antarctic Survey, NERC, Upper Atmospher Sci Div, High Cross,Madingley Rd, Cambridge CB3 0ET, England.</t>
  </si>
  <si>
    <t>10.1029/1999RG900006</t>
  </si>
  <si>
    <t>WOS:000081930700002</t>
  </si>
  <si>
    <t>Bintanja, R</t>
  </si>
  <si>
    <t>On the glaciological, meteorological, and climatological significance of Antarctic blue ice areas</t>
  </si>
  <si>
    <t>SURFACE-ENERGY BALANCE; SCALAR TRANSFER-COEFFICIENTS; EAST ANTARCTICA; KATABATIC WINDS; MAUD-LAND; SNOW; CIRCULATION; ROUGHNESS; SHEET</t>
  </si>
  <si>
    <t>This paper presents the current state of our knowledge about Antarctic blue ice areas. Scattered widely over the Antarctic continent yet covering only approximately 1% of its surface area, blue ice areas have some peculiar characteristics that make them of particular interest for planetary geologists, glaciologists, meteorologists, and climatologists. For instance, blue ice areas are subject to net ablation mainly by sublimation, since any accumulation is easily swept off their smooth surfaces by winds. Moreover,,they are significantly warmer than their surroundings, and the wind over them is generally more gusty. An important feature of blue ice is its relatively low albedo (0.56) compared with that of snow (0.80). Blue ice is probably considerably smoother than snow (in the aerodynamic sense), with roughness lengths as low as 3 x 10(-6) m, which indicates that blue ice is probably the only permanent natural surface over which the air flow is mainly in the aerodynamic smooth regime. Further, since it is likely that very old ice is exposed at the surface of some blue ice areas, this ice would be of great interest for paleoclimatic studies. It has also been suggested that blue ice areas are sensitive to climate change; this would make them useful as Antarctic climate indicators because they can easily be monitored by satellite. Finally, this paper addresses several gaps in our knowledge about blue ice areas and gives suggestions for future blue ice area research.</t>
  </si>
  <si>
    <t>Univ Utrecht, Inst Marine &amp; Atmospher Res, NL-3508 TA Utrecht, Netherlands</t>
  </si>
  <si>
    <t>Utrecht University</t>
  </si>
  <si>
    <t>Univ Utrecht, Inst Marine &amp; Atmospher Res, Postbus 80005, NL-3508 TA Utrecht, Netherlands.</t>
  </si>
  <si>
    <t>Bintanja, Richard/0000-0002-0465-5923</t>
  </si>
  <si>
    <t>1944-9208</t>
  </si>
  <si>
    <t>10.1029/1999RG900007</t>
  </si>
  <si>
    <t>WOS:000081930700003</t>
  </si>
  <si>
    <t>Ribbe, J</t>
  </si>
  <si>
    <t>On wind-driven mid-latitude convection in ocean general circulation models</t>
  </si>
  <si>
    <t>TELLUS SERIES A-DYNAMIC METEOROLOGY AND OCEANOGRAPHY</t>
  </si>
  <si>
    <t>WORLD OCEAN; WATER</t>
  </si>
  <si>
    <t>Several computational experiments were carried out with a state-of-the-art ocean general circulation model to identify the northward directed Ekman transport of antarctic and sub-antarctic origin surface water as a mechanism which forces mid-latitude convection. The results indicate that the wind-driven transport of water in the surface layer is most efficient at increasing the depth of convection in the southeast region of the ocean basin investigated. To the north of the latitude of maximum wind stress at about 50 degrees S, a deepening of the convectively-mixed layer of more than 300 m is simulated if the wind forcing is doubled. In the real ocean, this identified mechanism of Ekman transport of cold and fresh water across the path of the antarctic circumpolar current may contribute to the formation of sub-antarctic mode water observed to the north of the sub-antarctic front of the southern ocean.</t>
  </si>
  <si>
    <t>Univ Concepcion, Programme Reg Studies Phys Oceanog &amp; Climate, Concepcion 3, Chile</t>
  </si>
  <si>
    <t>Universidad de Concepcion</t>
  </si>
  <si>
    <t>Ribbe, J (corresponding author), Univ Concepcion, Programme Reg Studies Phys Oceanog &amp; Climate, Cabina 7,Barrio Univ S-N,Casillo 160-C, Concepcion 3, Chile.</t>
  </si>
  <si>
    <t>j-ribbe@profc.udec.c1</t>
  </si>
  <si>
    <t>Ribbe, Joachim/0000-0001-6749-1228</t>
  </si>
  <si>
    <t>MALDEN</t>
  </si>
  <si>
    <t>COMMERCE PLACE, 350 MAIN ST, MALDEN 02148, MA USA</t>
  </si>
  <si>
    <t>0280-6495</t>
  </si>
  <si>
    <t>TELLUS A</t>
  </si>
  <si>
    <t>Tellus Ser. A-Dyn. Meteorol. Oceanol.</t>
  </si>
  <si>
    <t>10.1034/j.1600-0870.1999.t01-4-00005.x</t>
  </si>
  <si>
    <t>229RE</t>
  </si>
  <si>
    <t>WOS:000082207700005</t>
  </si>
  <si>
    <t>Macdonald, DIM; Leat, PT; Doubleday, PA; Kelly, SRA</t>
  </si>
  <si>
    <t>On the origin of fore-arc basins: new evidence of formation by rifting from the Jurassic of Alexander Island, Antarctica</t>
  </si>
  <si>
    <t>TERRA NOVA</t>
  </si>
  <si>
    <t>GONDWANA BREAK-UP; ALKALINE MAGMAS; MAFIC DYKES; PENINSULA; EVOLUTION; BASALTS; BATHOLITH; MARGIN</t>
  </si>
  <si>
    <t>The Middle Jurassic-Lower Cretaceous Fossil Bluff Group of Alexander Island, Antarctica represents the fill of a fore-are ba sin unconformably overlying an accretionary complex. Like most fore-are basins, this example had been considered to have a passive origin, as a topographic hollow between the are and the trench-slope break. Recent discoveries of igneous rock coeval with sedimentation have altered this view. Oxfordian-Kimmeridgian basaltic and rhyolitic sills and lava flows are found in a restricted area at the north of the basin, within a single formation. Chemically, most basalts are high-Nb types, which cannot have originated in a supra-subduction zone setting. Since the age of emplacement of these rocks coincides with a gap in the record of plutonism in the Antarctic Peninsula volcanic are, it is concluded that a late Jurassic pause in subduction led to active rifting to form the fore-are basin.</t>
  </si>
  <si>
    <t>Macdonald, DIM (corresponding author), Univ Aberdeen, Dept Geol &amp; Petr Geol, Aberdeen AB24 3UE, Scotland.</t>
  </si>
  <si>
    <t>0954-4879</t>
  </si>
  <si>
    <t>Terr. Nova</t>
  </si>
  <si>
    <t>278KQ</t>
  </si>
  <si>
    <t>WOS:000084989300009</t>
  </si>
  <si>
    <t>Wong, APS; Bindoff, NL; Church, JA</t>
  </si>
  <si>
    <t>Large-scale freshening of intermediate waters in the Pacific and Indian oceans</t>
  </si>
  <si>
    <t>NORTH-ATLANTIC OCEAN; ATMOSPHERE MODEL; TRANSIENT-RESPONSE; HYDROGRAPHIC DATA; SUBTROPICAL GYRE; CARBON-DIOXIDE; CLIMATE-CHANGE; SEA-ICE; VARIABILITY; TEMPERATURE</t>
  </si>
  <si>
    <t>Despite the central role of the oceans in the global hydrological cycle, direct observations of precipitation over the oceans are too sparse to infer global patterns of variability. For the regions of water-mass formation (the high latitudes), however, it is possible to obtain indirect information on changes in the surface salinity budget from salinity measurements elsewhere, as water masses in the ocean carry distinct signatures in temperature and salinity over long distances. Here we present a comparison of historical hydrographic data collected between 1930 and 1980(1,2) with six more-recent trans-oceanic hydrographic sections (1985-94) from the intermediate waters of the Pacific and Indian oceans(3,4). North Pacific Intermediate Water and Antarctic Intermediate Water both show coherent basin-wide salinity decreases with time. The simplest explanation for these changes is a freshening of surface waters, over approximately 22 years, in the high-latitude North Pacific and Southern oceans, suggesting that precipitation (minus evaporation) has increased over the polar gyres. We estimate an increase by about 31 mm yr(-1) far the Southern Ocean (between 55 degrees S and 65 degrees S), which is about three times larger than the values suggested by coupled atmosphere-ocean models with increasing atmospheric greenhouse-gas concentrations for the same period(5-8). The patterns of change are, however, qualitatively consistent between models and observations, and our results provide evidence for an intensification of the global hydrological cycle over the past decades.</t>
  </si>
  <si>
    <t>Antarctic Cooperat Res Ctr, Hobart, Tas 7001, Australia; Univ Tasmania, Inst Antarctic &amp; So Ocean Studies, Hobart, Tas 7001, Australia; CSIRO, Div Marine Res, Hobart, Tas 7001, Australia</t>
  </si>
  <si>
    <t>University of Tasmania; Commonwealth Scientific &amp; Industrial Research Organisation (CSIRO)</t>
  </si>
  <si>
    <t>Antarctic Cooperat Res Ctr, GPO Box 252-80, Hobart, Tas 7001, Australia.</t>
  </si>
  <si>
    <t>n.bindoff@utas.edu.au</t>
  </si>
  <si>
    <t>Church, John A/A-1541-2012; Bindoff, Nathaniel Lee/C-8050-2011; Bindoff, Nathaniel Lee/IVV-0333-2023</t>
  </si>
  <si>
    <t>Church, John A/0000-0002-7037-8194; Bindoff, Nathaniel Lee/0000-0001-5662-9519; Bindoff, Nathaniel Lee/0000-0001-5662-9519; Wong, Annie P. S./0000-0003-3305-1640</t>
  </si>
  <si>
    <t>NATURE PORTFOLIO</t>
  </si>
  <si>
    <t>HEIDELBERGER PLATZ 3, BERLIN, 14197, GERMANY</t>
  </si>
  <si>
    <t>1476-4687</t>
  </si>
  <si>
    <t>JUL 29</t>
  </si>
  <si>
    <t>10.1038/22733</t>
  </si>
  <si>
    <t>221FZ</t>
  </si>
  <si>
    <t>WOS:000081715000047</t>
  </si>
  <si>
    <t>Déry, SJ; Yau, MK</t>
  </si>
  <si>
    <t>A climatology of adverse winter-type weather events</t>
  </si>
  <si>
    <t>THRESHOLD WIND-SPEEDS; SNOW TRANSPORT; BLOWING SNOW; MODEL; SIMULATION; REGIONS; CANADA; STORMS; BASIN</t>
  </si>
  <si>
    <t>Using the European Centre for Medium-Range Weather Forecasts Re-Analysis gridded data, a global climatology of blowing snow, blizzard, and high-windchill events is conducted for the period 1979-1993. The results show that these phenomena, occur primarily over flat;, open surfaces with long seasonal or perennial snow covers such as the Greenland and Antarctic ice fields as well as the Arctic tundra. On a regional scale, emphasis is given to the Mackenzie River Basin (MRB) of Canada, where fewer events take place within the boreal forest as opposed to the Arctic tundra. Interannual and monthly variabilities in the number of events are also evident and are due primarily to 10-m wind speed anomalies at high latitudes for blowing snow and blizzard events, while high-windchill events are more sensitive to air temperatures near the surface. We also find that high-windchill episodes are the more frequent events, since they occur at 9.3% of all possible grid points and times on a yearly basis, while blowing snow at 6.5% and blizzards at 1.4% are less common events. Compositing of principal meteorological fields show that anticyclones and lee cyclones are prominent features associated with blowing snow events in some sections of the MRB.</t>
  </si>
  <si>
    <t>McGill Univ, Dept Atmospher &amp; Ocean Sci, Montreal, PQ H3A 2K6, Canada</t>
  </si>
  <si>
    <t>McGill University</t>
  </si>
  <si>
    <t>McGill Univ, Dept Atmospher &amp; Ocean Sci, 805 Sherbrooke St W, Montreal, PQ H3A 2K6, Canada.</t>
  </si>
  <si>
    <t>steph@zephyr.meteo.mcgill.ca; yau@rainband.meteo.mcgill.ca</t>
  </si>
  <si>
    <t>JUL 27</t>
  </si>
  <si>
    <t>D14</t>
  </si>
  <si>
    <t>10.1029/1999JD900158</t>
  </si>
  <si>
    <t>220ET</t>
  </si>
  <si>
    <t>WOS:000081652100003</t>
  </si>
  <si>
    <t>Dare, RA; Atkinson, BW</t>
  </si>
  <si>
    <t>Numerical modeling of atmospheric response to polynyas in the Southern Ocean sea ice zone</t>
  </si>
  <si>
    <t>BOUNDARY-LAYER MODIFICATION; ANTARCTIC PACK ICE; COLD-AIR OUTBREAKS; SURFACE HEAT-FLUX; ARCTIC LEADS; WEDDELL-SEA; CANADIAN ARCHIPELAGO; DRAG COEFFICIENTS; SNOW COVER; MOMENTUM</t>
  </si>
  <si>
    <t>The polar regions play an important role in the climate system but energy exchanges between the atmosphere and surface in polar sea ice regions are not well understood, particularly in the observation-sparse Southern Ocean. A high resolution mesoscale numerical model of the planetary boundary layer was used to simulate mean winter atmospheric conditions over open water (widths of 10, 20, 30, 40, and 50 km) surrounded by sea ice in the Southern Ocean, rather than the colder Arctic environment which is the focus of most past work. Previous work has concentrated on surface turbulent fluxes. Here we present data on momentum, heat, and moisture fluxes up to 800 m. Shear and increase in buoyancy above the polynya generated a turbulent plume that caused downward mixing of high momentum air. The consequent acceleration of the surface wind and horizontal divergence contributed to descent, despite thermal buoyancy, while downwind of the polynya, there was a region of convergence and ascent. Surface drag on the atmosphere over the water increased due to the accelerated wind and increased drag coefficient. The surface heat flux increased for distances up to 20 km over open water owing to the increase in the heat transfer coefficient and wind speed. Beyond the point where the wind speed reached a maximum, the, decrease in surface-air temperature difference, which decreased with distance from the upwind ice edge, became the dominant influence on heat flux. Transfer of heat from air to the ice downwind of a polynya increased with polynya width despite an increase in thermal stability of the lower atmosphere.</t>
  </si>
  <si>
    <t>Queen Mary Univ London, Dept Geog, London E1 4NS, England</t>
  </si>
  <si>
    <t>University of London; Queen Mary University London</t>
  </si>
  <si>
    <t>Dare, RA (corresponding author), Queen Mary Univ London, Dept Geog, Mile End Rd, London E1 4NS, England.</t>
  </si>
  <si>
    <t>b.w.atkinson@qmw.ac.uk</t>
  </si>
  <si>
    <t>10.1029/1999JD900137</t>
  </si>
  <si>
    <t>WOS:000081652100005</t>
  </si>
  <si>
    <t>Reeder, MJ; Adams, N; Lane, TP</t>
  </si>
  <si>
    <t>Radiosonde observations of partially trapped lee waves over Tasmania, Australia</t>
  </si>
  <si>
    <t>GRAVITY-WAVES; CONVECTION</t>
  </si>
  <si>
    <t>A well-defined family of lee waves over southern Tasmania, Australia, is analyzed using a routine radiosonde sounding released from Hobart at 1100 UTC June 18, 1991. Pronounced fluctuations in the ascent rate of the radiosonde are analysed using a new technique called the horizontal projection method. The dominant horizontal wavelength is found to be 8249 m. An advanced very high resolution radiometer (AVHRR) infrared satellite image at 1554 UTC is used to check this calculation and gives a horizontal wavelength of 8.9 +/- 1.4 km. The horizontal projection method takes account of the vertical variation of background flow and the trajectory of the radiosonde. When the Scorer parameter is a strong function of height, as is the case with the 1100 UTC sounding, it is inappropriate to assume that the vertical wavenumber is constant with height. In particular, the vertical wavelength at low levels is about 4.5 km, the waves become evanescent between the heights of 2.5 km and 9 km, and above that the vertical wavelength is typically 10-15 km. As a consistency check, linear wave theory is used to calculate the resonant wave modes supported by the background profiles of wind and potential temperature. These are the wave modes that are most likely responsible for the lee-wave clouds seen in the AVHRR satellite image. The horizontal wavelength for the resonant wave mode is 8188 m, in agreement with the estimates based on the AVHRR satellite image and from the horizontal projection method. The paper highlights the dangers of interpreting radiosonde soundings as vertical snapshots of the atmosphere and assuming that the vertical wavenumber can be characterized by a single value. It is shown that treating the radiosonde sounding as a vertical profile and analysing wave-like structures in the ascent rate using standard spectral methods gives an incorrect vertical wavelength of 1906 +/- 238 m. The paper concludes that operational radiosonde soundings can be used to make accurate, quantitative measurements of orographically generated waves, provided that the vertical variation in the background flow and the motion of the radiosonde through the wave field are taken into account.</t>
  </si>
  <si>
    <t>Monash Univ, Dept Math &amp; Stat, Clayton, Vic 3168, Australia; Univ Tasmania, Cooperat Res Ctr Antarctic &amp; So Ocean Environm, Hobart, Tas 7001, Australia; Australian Bur Meteorol, Hobart, Tas, Australia; Monash Univ, Cooperat Res Ctr So Hemisphere Meteorol, Clayton, Vic 3168, Australia</t>
  </si>
  <si>
    <t>Monash University; University of Tasmania; Bureau of Meteorology - Australia; Monash University</t>
  </si>
  <si>
    <t>Reeder, MJ (corresponding author), Monash Univ, Dept Math &amp; Stat, Clayton, Vic 3168, Australia.</t>
  </si>
  <si>
    <t>michael.reeder@sci.monash.edu.au; N.Adams@bom.gov.au; tpl@vortex.shm.monash.edu.au</t>
  </si>
  <si>
    <t>Reeder, Michael J/G-2304-2011; Lane, Todd/A-8804-2011</t>
  </si>
  <si>
    <t>Reeder, Michael/0000-0002-4583-5875; Lane, Todd/0000-0003-0171-6927</t>
  </si>
  <si>
    <t>10.1029/1999JD900038</t>
  </si>
  <si>
    <t>WOS:000081652100007</t>
  </si>
  <si>
    <t>Cliff, SS; Brenninkmeijer, CAM; Thiemens, MH</t>
  </si>
  <si>
    <t>First measurement of the 18O/16O and 17O/16O ratios in stratospheric nitrous oxide:: A mass-independent anomaly</t>
  </si>
  <si>
    <t>POTENTIAL ATMOSPHERIC SOURCES; ISOTOPE; FRACTIONATION; CHEMISTRY; SINKS</t>
  </si>
  <si>
    <t>The first multi-oxygen isotopic analysis of nitrous oxide samples from the lower stratosphere has a mass-independent composition. This study extends the results from tropospheric nitrous oxide samples. Measurements are reported from two 8 - 12 km altitude airplane flights from New Zealand to the Antarctic in June and October 1993. The observed isotopic results strengthen the previous argument that an atmospheric process, source, sink, or exchange reaction, involving nitrous oxide must exist in the atmosphere, and they further define its signature.</t>
  </si>
  <si>
    <t>Max Planck Inst Chem, Air Chem Div, Air Chem Dept, D-55020 Mainz, Germany; Univ Calif San Diego, Dept Chem &amp; Biochem, La Jolla, CA 92093 USA</t>
  </si>
  <si>
    <t>Max Planck Society; University of California System; University of California San Diego</t>
  </si>
  <si>
    <t>Univ Calif Davis, Delta Grp, Div Atmospher Chem, Dept Land Air &amp; Water Resources, 1 Shields Ave, Davis, CA 95616 USA.</t>
  </si>
  <si>
    <t>sscliff@ucdavis.edu; carlb@mpch-mainz.mpg.de; mht@chem.ucsd.edu</t>
  </si>
  <si>
    <t>Brenninkmeijer, Carl/B-6860-2013</t>
  </si>
  <si>
    <t>JUL 20</t>
  </si>
  <si>
    <t>D13</t>
  </si>
  <si>
    <t>10.1029/1999JD900152</t>
  </si>
  <si>
    <t>218CE</t>
  </si>
  <si>
    <t>WOS:000081535000020</t>
  </si>
  <si>
    <t>Gavagnin, M; De Napoli, A; Cimino, G; Iken, K; Avila, C; Garcia, FJ</t>
  </si>
  <si>
    <t>Absolute configuration of diterpenoid diacylglycerols from the Antarctic nudibranch Austrodoris kerguelenensis</t>
  </si>
  <si>
    <t>TETRAHEDRON-ASYMMETRY</t>
  </si>
  <si>
    <t>ACID GLYCERIDES; OPISTHOBRANCH MOLLUSKS; DORIS-VERRUCOSA; SKIN</t>
  </si>
  <si>
    <t>The R absolute configuration at C-2' of the glyceryl moiety of the natural diterpenoid 1,3-glyceryl esters 1 and 2 has been established by applying the modified Mosher method. These esters have been isolated, together with the corresponding 1,2-derivatives (3 and 4), from different collections of the Antarctic dorid nudibranch Austrodoris kerguelenensis. Surprisingly, such a configuration is opposite to that of all marine terpenoid diacylglycerols so far reported. Compounds 1 and 3 are new natural products closely related to austrodorin 5, already described from the same species. (C) 1999 Elsevier Science Ltd. All rights reserved.</t>
  </si>
  <si>
    <t>García-Garcia, Francisco J/D-5516-2013; Avila, Conxita/B-9466-2008; Gavagnin, Margherita/B-4584-2012</t>
  </si>
  <si>
    <t>García-Garcia, Francisco J/0000-0002-6852-4498; Avila, Conxita/0000-0002-5489-8376;</t>
  </si>
  <si>
    <t>0957-4166</t>
  </si>
  <si>
    <t>TETRAHEDRON-ASYMMETR</t>
  </si>
  <si>
    <t>Tetrahedron: Asymmetry</t>
  </si>
  <si>
    <t>JUL 16</t>
  </si>
  <si>
    <t>10.1016/S0957-4166(99)00273-6</t>
  </si>
  <si>
    <t>Chemistry, Inorganic &amp; Nuclear; Chemistry, Organic; Chemistry, Physical</t>
  </si>
  <si>
    <t>231LB</t>
  </si>
  <si>
    <t>WOS:000082309500004</t>
  </si>
  <si>
    <t>Nettles, M; Wallace, TC; Beck, SL</t>
  </si>
  <si>
    <t>The March 25, 1998 Antarctic plate earthquake</t>
  </si>
  <si>
    <t>FLOOR; GULF</t>
  </si>
  <si>
    <t>The March 25, 1998, Antarctic plate earthquake (M-W=8.1) occurred similar to 250 km from the nearest plate boundary, in oceanic lithosphere with an age of 35-55 my. Analysis of aftershock patterns shows that the earthquake ruptured a fault, or series of strike-slip fault segments, nearly 300 km long. The strike of the fault(s) is nearly perpendicular to the north-south trending fossil fracture zones which are the most marked bathymetric features of this region. Moment release during the mainshock was concentrated in two large subevents, clearly visible in the teleseismic body wave waveforms. Modeling of these body waves using a finite fault source places the first of the two subevents near the point of rupture initiation, on the eastern end of the fault, with the second large subevent occurring 220-280 km to the west. The two pulses of moment release are found to be separated in time by similar to 65 s. Comparison of the relative S wave amplitudes of the first and second pulses suggests that a rotation of the focal mechanism by similar to 10 degrees occurred between the two subevents.</t>
  </si>
  <si>
    <t>Univ Arizona, Dept Geosci, Tucson, AZ 85721 USA</t>
  </si>
  <si>
    <t>University of Arizona</t>
  </si>
  <si>
    <t>Nettles, M (corresponding author), Univ Arizona, Dept Geosci, Bldg 77, Tucson, AZ 85721 USA.</t>
  </si>
  <si>
    <t>Nettles, Meredith/A-8638-2012</t>
  </si>
  <si>
    <t>Nettles, Meredith/0000-0003-4613-4162</t>
  </si>
  <si>
    <t>JUL 15</t>
  </si>
  <si>
    <t>10.1029/1999GL900387</t>
  </si>
  <si>
    <t>217YT</t>
  </si>
  <si>
    <t>WOS:000081527100016</t>
  </si>
  <si>
    <t>Guzzi, D; Morandi, M; Santacesaria, V; Stefanutti, L; Agostini, P; Liley, B; Wolf, JP</t>
  </si>
  <si>
    <t>Four years of stratospheric aerosol measurements in the northern and southern hemispheres</t>
  </si>
  <si>
    <t>MOUNT-PINATUBO; EL-CHICHON; LIDAR; BORNE; BACKSCATTER; ERUPTIONS; OZONE</t>
  </si>
  <si>
    <t>Lidar data, collected from stations located in both the Northern and Southern hemispheres using 532nm wavelength, were employed for monitoring the evolution of stratospheric aerosol loading from January 1994 up to December 1997. Lidar data covering the pre-Pinatubo situation are available also for the 1989-1993 period only for the Antarctica station. These data are reported for comparison with the present situation. The analysis provided stratospheric aerosol loading measurements which show the return to a clean stratosphere as observed before the eruption of Mt. Pinatubo. During 1997, integrated backscattering values ranging between 8.2 +/- 3 10(-5) sr-1 for Lauder and Florence/ Brasimone and 6.0 +/- 1.5 10(-5) sr(-1) for the polar stations of Sodankyla and Dumont d'Urville were measured. These values are smaller then the ones registered before the Pinatubo eruption: for example, at Dumont d'Urville in 1989 an integrated backscattering of 0.75 +/- 0.12 10(-4) sr(-1) was measured. An evaluation of the decay time, i.e. the half time, for aerosols allowed a rough estimate of aerosol particle size. A comparison between the decay time for integrated backscattering in the 13 to 25-km region obtained for the four sites did not show any strong variability between the northern and southern hemispheres: only small differences are observed between the Arctic and Antarctic regions. A time constant of about 3 years and half was retrieved for the 1994-1997 period.</t>
  </si>
  <si>
    <t>CNR, IROE, I-50127 Florence, Italy; ENEA CR Brasimone, I-40032 Camugnano, BO, Italy; NIWA Lauder, Cent Otago, New Zealand; Univ Lyon 1, Villerbanne, France</t>
  </si>
  <si>
    <t>Consiglio Nazionale delle Ricerche (CNR); Italian National Agency New Technical Energy &amp; Sustainable Economics Development; National Institute of Water &amp; Atmospheric Research (NIWA) - New Zealand; Universite Claude Bernard Lyon 1</t>
  </si>
  <si>
    <t>Guzzi, D (corresponding author), CNR, IROE, Via Panciatichi 64, I-50127 Florence, Italy.</t>
  </si>
  <si>
    <t>Wolf, Jean-Pierre/B-8315-2012</t>
  </si>
  <si>
    <t>Wolf, Jean-Pierre/0000-0003-3729-958X</t>
  </si>
  <si>
    <t>10.1029/1999GL900385</t>
  </si>
  <si>
    <t>WOS:000081527100042</t>
  </si>
  <si>
    <t>De las Heras, MM; Schlitzer, R</t>
  </si>
  <si>
    <t>On the importance of intermediate water flows for the global ocean overturning</t>
  </si>
  <si>
    <t>MERIDIONAL HEAT-TRANSPORT; NORTH-ATLANTIC OCEAN; SOUTH-ATLANTIC; HORIZONTAL RESOLUTION; GENERAL-CIRCULATION; INDIAN-OCEAN; THERMOHALINE CIRCULATION; WORLD OCEAN; WIND STRESS; FLUXES</t>
  </si>
  <si>
    <t>A steady state inverse global ocean model is used together with the available original, historical hydrographic database to study and quantify the large-scale global ocean circulation The model has a variable resolution grid with grid sizes as small as 2.5 degrees longitude by 2 degrees latitude along boundaries, straits or over steep topography and a default resolution of 5 degrees by 4 degrees in quiet open ocean regions. The model has 26 vertical levels with 60 m resolution pear the surface. The adjoint method is applied to drive the model to the hydrographic data and to optimize horizontal hows, air-sea heat fluxes, and mixing coefficients in an iterative way. Mass, heat, and salt budgets are satisfied exactly by the model. After assimilation, both simulated temperature and salinity fields are in good ag agreement with observations. Sensitivity experiments show that different circulation patterns with varying relative importance of intermediate water versus warm water transports and varying warm water inflow from the Indian Ocean into the Atlantic are consistent with the hydrographic data. However, for all solutions we find that the water mass that dominates the compensation of North Atlantic Deep Water export is Antarctic Intermediate Water. The northward transport rates of intermediate water in the South Atlantic and South Pacific in our model solutions range between 10 and 15 Sv in each ocean and are considerably larger than previously published values.</t>
  </si>
  <si>
    <t>Alfred Wegener Inst Polar &amp; Marine Res, Columbusstr, D-27568 Bremerhaven, Germany.</t>
  </si>
  <si>
    <t>rschlitzer@awi-bremerhaven.de</t>
  </si>
  <si>
    <t>C7</t>
  </si>
  <si>
    <t>10.1029/1999JC900102</t>
  </si>
  <si>
    <t>217RD</t>
  </si>
  <si>
    <t>WOS:000081512000003</t>
  </si>
  <si>
    <t>Heil, P; Allison, I</t>
  </si>
  <si>
    <t>The pattern and variability of Antarctic sea-ice drift in the Indian Ocean and western Pacific sectors</t>
  </si>
  <si>
    <t>SOUTHERN-OCEAN; CIRCULATION; EXTENT; WATER</t>
  </si>
  <si>
    <t>Sea-ice drift physically redistributes pack ice and changes ice extent, concentration, and, through deformation, the ice-thickness distribution. In this paper, data are presented from 39 satellite-tracked buoys, deployed during various seasons from 1985 to 1996 in the sea ice of the Southern Ocean off East Antarctica between 20 degrees and 160 degrees E longitude. The dominant features of the ice motion in the region are a westward drift parallel to the bathymetry near the Antarctic continent, a cyclonic circulation cell in Prydz Bay, and eastward drift of the ice to the north of the zonal sheer zone. The oceanic circulation along the coast is generally barotropic and the ice drift is well correlated with bottom topography. Northward outflows, the locations of which are determined by both bottom topography and the seasonally varying position of the zonal shear zone, allow the discharge of sea ice from the westward drift in the south into the northerly belt of eastward flow, but with considerable variability in the net northward ice transport. The ice translation monitored by the buoys is used to derive the spatial pattern of the ice-velocity field. The daily average ice-drift speed in the westward flow is 0.23 m s(-1) (19.8 km d(-1)), with considerable spatial and temporal variability, and in the eastward flow the average is 0.17 m s(-1) (15.1 km d(-1)). Seasonal and interannual ice-drift variabilities are analyzed. The results are compared with satellite data of sea-ice extent and concentration over the same time, as well as with hydrographic observation of the position of the Antarctic Divergence.</t>
  </si>
  <si>
    <t>Univ Tasmania, Cooperat Res Ctr Antarctic &amp; So Ocean, Hobart, Tas, Australia; Univ Tasmania, Inst Antarctic &amp; So Ocean Studies, Hobart, Tas 7001, Australia; Australian Antarctic Div, Hobart, Tas 7001, Australia</t>
  </si>
  <si>
    <t>University of Tasmania; University of Tasmania; Australian Antarctic Division</t>
  </si>
  <si>
    <t>GPO Box 252-80, Hobart, Tas 7001, Australia.</t>
  </si>
  <si>
    <t>Petra.Heil@utas.edu.au; Ian.Allison@utas.edu.au</t>
  </si>
  <si>
    <t>Allison, Ian F/I-4477-2015</t>
  </si>
  <si>
    <t>Allison, Ian F/0000-0001-9599-0251; Heil, Petra/0000-0003-2078-0342</t>
  </si>
  <si>
    <t>10.1029/1999JC900076</t>
  </si>
  <si>
    <t>WOS:000081512000020</t>
  </si>
  <si>
    <t>Hopkins, MA; Tuhkuri, J</t>
  </si>
  <si>
    <t>Compression of floating ice fields</t>
  </si>
  <si>
    <t>SIMULATION</t>
  </si>
  <si>
    <t>The compression of ice fields made up of thin flees is central to the processes of ice jam formation in northern rivers, pressure ridge formation in northern seas, and the dynamics of ice fields in Arctic and Antarctic marginal seas. This work describes the results of computer simulations in which a floating layer of circular floes, confined in a rectangular channel, is compressed by a pusher plate moving at a constant speed. The accuracy of the simulations is assessed by comparison with a series of similar physical experiments performed in a refrigerated basin. Following this comparison, the computer model is used to perform an extensive series of simulations to explore the effect of variations in channel length and width, the ratio of flee diameter to thickness, flee on flee friction coefficients, and the distribution of flee diameters on the force required to compress the flees. The results show that reducing the aspect ratio of the flees or increasing the friction coefficient increases the force needed to compress the flees. Both changes increase the force by changing the dominant failure mechanism in the layer of flees from rafting to underturning. Increasing channel width reduced the compressive force (per unit channel width) by reducing the relative importance of frictional drag at the channel edges. Last, the results of a simulation using a distribution of flee diameters was indistinguishable from those of a simulation using flees with a single diameter equal to the average diameter of the distribution.</t>
  </si>
  <si>
    <t>USA, Cold Reg Res &amp; Engn Lab, Hanover, NH 03755 USA; Helsinki Univ Technol, Ship Lab, FIN-02150 Espoo, Finland</t>
  </si>
  <si>
    <t>United States Department of Defense; United States Army; U.S. Army Corps of Engineers; U.S. Army Engineer Research &amp; Development Center (ERDC); Cold Regions Research &amp; Engineering Laboratory (CRREL); Aalto University</t>
  </si>
  <si>
    <t>hopkins@crrel.usace.army.mil</t>
  </si>
  <si>
    <t>Tuhkuri, Jukka/E-6913-2012</t>
  </si>
  <si>
    <t>Tuhkuri, Jukka/0000-0003-4837-352X</t>
  </si>
  <si>
    <t>10.1029/1999JC900127</t>
  </si>
  <si>
    <t>WOS:000081512000022</t>
  </si>
  <si>
    <t>Carrillo, CJ; Karl, DM</t>
  </si>
  <si>
    <t>Dissolved inorganic carbon pool dynamics in northern Gerlache Strait, Antarctica</t>
  </si>
  <si>
    <t>WESTERN BRANSFIELD STRAIT; ATMOSPHERIC CO2; SOUTHERN-OCEAN; PARTICLE-FLUX; WEDDELL SEA; ROSS SEA; PHYTOPLANKTON; DIOXIDE; SUMMER; NUTRIENTS</t>
  </si>
  <si>
    <t>The Research on Antarctic Coastal Ecosystem Rates (RACER) program was designed to study interactions between biological and physical processes in regions west of the Antarctic Peninsula. The field sampling effort was conducted from 1986 to 1992 and consisted of four cruises; three during separate austral spring-summer seasons (RACER I, II and III) and one austral winter cruise (RACER IV). Extensive phytoplankton blooms were documented at several stations in northern Gerlache Strait during the three austral spring-summer seasons. The growth and accumulation of photoautotrophic microorganisms resulted in the net removal of &gt;100 mu mol kg(-1) of salinity normalized dissolved inorganic carbon(DIC). An upper estimate for net ecosystem production of 0.15 mol C m(-2) d(-1) was calculated from measured rates of DIC removal at one station (designated station A) that was occupied extensively during all four RACER cruises. Independent measurements of total gross microbial production, based on DNA synthesis rates, ranged from 0.3 to 1.0 mol C m(-2) d(-1) at the height of the bloom. The net accumulation of phytoplankton carbon and removal of DIC from the system resulted in an estimated mean air-to-sea flux of 6 mmol C m(-2) d(-1), a negligible fraction of the net removal of carbon by organic matter production. A characteristic feature of each austral spring-summer cruise was the high degree of spatial and temporal heterogeneity in the inorganic carbon system parameters. The exact cause(s) of this variability is not known. As a result of spatial heterogeneity, carbon fluxes were not well constrained, and regional carbon budget closure was problematic.</t>
  </si>
  <si>
    <t>Univ Hawaii, Sch Ocean &amp; Earth Sci &amp; Technol, Dept Oceanog, Honolulu, HI 96822 USA</t>
  </si>
  <si>
    <t>University of Hawaii System</t>
  </si>
  <si>
    <t>Univ Hawaii, Sch Ocean &amp; Earth Sci &amp; Technol, Dept Oceanog, Honolulu, HI 96822 USA.</t>
  </si>
  <si>
    <t>carrillo@soest.hawaii.edu; dkarl@soest.hawaii.edu</t>
  </si>
  <si>
    <t>10.1029/1999JC900110</t>
  </si>
  <si>
    <t>WOS:000081512000026</t>
  </si>
  <si>
    <t>Penchaszadeh, PE; Miloslavich, P; Lasta, M; Costa, PMS</t>
  </si>
  <si>
    <t>Egg capsules in the genus Adelomelon (Caenogastropoda: Volutidae) from the Atlantic coast of South America</t>
  </si>
  <si>
    <t>NAUTILUS</t>
  </si>
  <si>
    <t>caenogastropods; Volutidae; egg capsules; development; reproduction; geographic homogeneity; southern Atlantic</t>
  </si>
  <si>
    <t>In the past century, few additions have been made to the early descriptions of egg capsules of South American volutes, and unfortunately many of these early descriptions have proven to be incorrect. Herein, we describe the egg capsule of the largest South American volute, Adelomelon beckii (Broderip, 1836), and redescribe the egg capsule of A. ancilla (Lightfoot, 1786), two species that undergo direct development. Adelomelon beckii produces single, conspicuous, large, globose, and hemispheric egg capsules that measure about 50 mm in basal diameter and 35 mm in height; egg capsules of A. beckii are found attached to scallop shells. The base of the egg capsule is round with a narrow (3 mm) margin. The number of embryos per egg capsule is 7-9. The internal volume of the egg capsule is 30-35 ml. All studied material was at pre-hatching or hatching stages and no nurse eggs were present. Crawl-away juveniles have shells measuring between 16.0-18.6 mm length. The egg capsule of A. ancilla is oval and flat, with a diameter of 27-46 mm. Egg capsules are never covered by a calcareous layer. They are generally attached to scallop shells. The number of embryos per capsule is 2-8 and no nurse eggs are present. The eggs are about 65 mu m in diameter, the smallest among South American volutids, and are surrounded by a very dense fluid. The internal volume of egg capsules is 2.5-4.0 ml. Hatchlings are released as crawling juveniles with shells measuring 11.7-12.7 mm. Abridged information on spawn patterns in members of the Volutidae from the southwest Atlantic, Caribbean, Subantarctic, Antarctic, eastern Atlantic, Indo-Pacific, and Australia is provided.</t>
  </si>
  <si>
    <t>CONICET, Museo Argentino Ciencias Nat, RA-1405 Buenos Aires, DF, Argentina</t>
  </si>
  <si>
    <t>Museo Argentino de Ciencias Naturales Bernardino Rivadavia (MACN); Consejo Nacional de Investigaciones Cientificas y Tecnicas (CONICET)</t>
  </si>
  <si>
    <t>Penchaszadeh, PE (corresponding author), CONICET, Museo Argentino Ciencias Nat, Av Angel Gallardo 470, RA-1405 Buenos Aires, DF, Argentina.</t>
  </si>
  <si>
    <t>Penchaszadeh, Pablo/ABB-8472-2021</t>
  </si>
  <si>
    <t>Penchaszadeh, Pablo/0000-0002-2043-8814; Miloslavich, Patricia/0000-0001-5409-1401</t>
  </si>
  <si>
    <t>BAILEY-MATTHEWS SHELL MUSEUM</t>
  </si>
  <si>
    <t>SANIBEL</t>
  </si>
  <si>
    <t>C/O DR JOSE H LEAL, ASSOCIATE/MANAGING EDITOR, 3075 SANIBEL-CAPTIVA RD, SANIBEL, FL 33957 USA</t>
  </si>
  <si>
    <t>0028-1344</t>
  </si>
  <si>
    <t>Nautilus</t>
  </si>
  <si>
    <t>JUL 14</t>
  </si>
  <si>
    <t>219HY</t>
  </si>
  <si>
    <t>WOS:000081602900003</t>
  </si>
  <si>
    <t>Bell, RE; Childers, VA; Arko, RA; Blankenship, DD; Brozena, JM</t>
  </si>
  <si>
    <t>Airborne gravity and precise positioning for geologic applications</t>
  </si>
  <si>
    <t>GRAVIMETRY; ANTARCTICA; SYSTEM</t>
  </si>
  <si>
    <t>Airborne gravimetry has become an important geophysical tool primarily because of advancements in methodology and instrumentation made in the past decade. Airbome gravity is especially useful when measured in conjunction with other geophysical data, such as magnetics, radar, and laser altimetry. The aerogeophysical survey over the West Antarctic ice sheet described in this paper is one such interdisciplinary study. This paper outlines in detail the instrumentation, survey and data processing methodology employed to perform airborne gravimetry from the multi-instrumented Twin Otter aircraft. Precise positioning from carrier-phase Global Positioning System (GPS) observations are combined with measurements of acceleration made by the gravity meter in the aircraft to obtain the free-air gravity anomaly measurement at aircraft altitude. GPS data are processed using the Kinematic and Rapid Static (KARS) software program, and aircraft vertical acceleration and corrections for gravity data reduction are calculated from the GPS position solution. Accuracies for the free-air anomaly are determined from crossover analysis after significant editing (2.98 mGal rms) and from a repeat track (1.39 mGal rms). The aerogeophysical survey covered a 300,000 km(2) region in West Antarctica over the course of five field seasons. The gravity data from the West Antarctic survey reveal the major geologic structures of the West Antarctic rift system, including the Whitmore Mountains, the Byrd Subglacial Basin, the Sinuous Ridge, the Ross Embayment, and Siple Dome. These measurements, in conjunction with magnetics and ice-penetrating radar, provide the information required to reveal the tectonic fabric and history of this important region.</t>
  </si>
  <si>
    <t>Columbia Univ, Lamont Doherty Earth Observ, Palisades, NY 10964 USA; Univ Texas, Inst Geophys, Austin, TX 78759 USA; USN, Res Lab, Washington, DC 20375 USA</t>
  </si>
  <si>
    <t>Columbia University; University of Texas System; University of Texas Austin; United States Department of Defense; United States Navy; Naval Research Laboratory</t>
  </si>
  <si>
    <t>Columbia Univ, Lamont Doherty Earth Observ, 61 Route 9W, Palisades, NY 10964 USA.</t>
  </si>
  <si>
    <t>robinb@ldeo.columhia.edu; vicki@qur.nrl.navy.mil; arko@ldeo.columbia.edu; blank@ig.utexas.edu; john@qur.nrl.navy.mil</t>
  </si>
  <si>
    <t>Blankenship, Donald D./G-5935-2010</t>
  </si>
  <si>
    <t>JUL 10</t>
  </si>
  <si>
    <t>B7</t>
  </si>
  <si>
    <t>10.1029/1999JB900122</t>
  </si>
  <si>
    <t>215JP</t>
  </si>
  <si>
    <t>WOS:000081378800020</t>
  </si>
  <si>
    <t>Stramski, D; Reynolds, RA; Kahru, M; Mitchell, BG</t>
  </si>
  <si>
    <t>Estimation of particulate organic carbon in the ocean from satellite remote sensing</t>
  </si>
  <si>
    <t>OPTICAL-PROPERTIES; LIGHT-SCATTERING; WATERS; PHYTOPLANKTON; INHERENT; NITROGEN; VOLUME; COLOR</t>
  </si>
  <si>
    <t>Measurements from the Southern Ocean show that particulate organic carbon (POC) concentration is welt correlated with the optical backscattering by particles suspended in seawater. This relation, in conjunction with retrieval of the backscattering coefficient from remote-sensing reflectance, provides an algorithm for estimating surface POC from Satellite data of ocean color. Satellite imagery from SeaWiFS reveals the seasonal progression of POC, with a zonal band of elevated POC concentrations in December coinciding with the Antarctic Polar Front Zone. At that time, the POC pool within the top 100 meters of the entire Southern Ocean south of 40 degrees S exceeded 0.8 gigatons.</t>
  </si>
  <si>
    <t>Univ Calif San Diego, Scripps Inst Oceanog, Marine Phys Lab, La Jolla, CA 92093 USA; Univ Calif San Diego, Scripps Inst Oceanog, Div Marine Res, La Jolla, CA 92093 USA</t>
  </si>
  <si>
    <t>University of California System; University of California San Diego; Scripps Institution of Oceanography; University of California System; University of California San Diego; Scripps Institution of Oceanography</t>
  </si>
  <si>
    <t>Stramski, D (corresponding author), Univ Calif San Diego, Scripps Inst Oceanog, Marine Phys Lab, La Jolla, CA 92093 USA.</t>
  </si>
  <si>
    <t>Reynolds, Rick A/C-7470-2014</t>
  </si>
  <si>
    <t>Reynolds, Rick A/0000-0002-1579-3600; Mitchell, B. Greg/0000-0002-8550-4333</t>
  </si>
  <si>
    <t>JUL 9</t>
  </si>
  <si>
    <t>10.1126/science.285.5425.239</t>
  </si>
  <si>
    <t>214UM</t>
  </si>
  <si>
    <t>WOS:000081346000037</t>
  </si>
  <si>
    <t>Rocka, A</t>
  </si>
  <si>
    <t>Biometrical variability and occurrence of Ascarophis nototheniae (Nematoda, Cystidicolidae), a parasitic nematode of Antarctic and subantarctic fishes</t>
  </si>
  <si>
    <t>Ascarophis nototheniae; Nematoda; Antarctic; subantarctic; fish</t>
  </si>
  <si>
    <t>In total, 1446 Antarctic and subantarctic teleosts were examined for nematodes. One species, Ascarophis notatheniae Johnston et Mawson, 1945, is reported. New data on the biometrical variability and the occurrence or absence of this species are given. Three areas of the West Antarctic (the South Shetland Islands, South Georgia and South Orkneys) as well as three areas of the East Antarctic (Davis Sea, Weddell Sea and off Adelie Land) are new geographical localities for this nematode species. Also, 21 fish species represent new host records for A. nototheniae. Two predatory channichthyid species, Chaenocephalus aceratus and Cryodraco antarcticus are the most strongly infected fishes in all examined areas, except the Weddell Sea.</t>
  </si>
  <si>
    <t>Rocka, A (corresponding author), Polish Acad Sci, W Stefanski Inst Parasitol, Twarda 51-55, PL-00818 Warsaw, Poland.</t>
  </si>
  <si>
    <t>Rocka, Anna/0000-0002-1551-9759</t>
  </si>
  <si>
    <t>VERSITA</t>
  </si>
  <si>
    <t>WARSAW</t>
  </si>
  <si>
    <t>SOLIPSKA 14A-1, 02-482 WARSAW, POLAND</t>
  </si>
  <si>
    <t>JUL</t>
  </si>
  <si>
    <t>249UC</t>
  </si>
  <si>
    <t>WOS:000083350800008</t>
  </si>
  <si>
    <t>Stevens, IG; Stevens, DP</t>
  </si>
  <si>
    <t>Passive tracers in a general circulation model of the Southern Ocean</t>
  </si>
  <si>
    <t>oceanography : general (numerical modeling; water masses); oceanography : physical (general circulation)</t>
  </si>
  <si>
    <t>RESOLUTION ANTARCTIC MODEL; WATER MASSES; WORLD OCEAN; INTERBASIN EXCHANGE; INTERMEDIATE WATER; ATLANTIC-OCEAN; INDIAN-OCEAN; FRAM; CHLOROFLUOROCARBONS; VENTILATION</t>
  </si>
  <si>
    <t>Passive tracers are used in an off-line version of the United Kingdom Fine Resolution Antarctic Model (FRAM) to highlight features of the circulation and provide information on the inter-ocean exchange of water masses. The use of passive tracers allows a picture to be built up of the deep circulation which is not readily apparent from examination of the velocity or density fields. Comparison of observations with FRAM results gives good agreement for many features of the Southern Ocean circulation. Tracer distributions are consistent with the concept of a global conveyor belt with a return path via the Agulhas retroflection region for the replenishment of North Atlantic Deep Water.</t>
  </si>
  <si>
    <t>Univ E Anglia, Sch Math, Norwich NR4 7TJ, Norfolk, England</t>
  </si>
  <si>
    <t>Stevens, IG (corresponding author), Univ E Anglia, Sch Math, Norwich NR4 7TJ, Norfolk, England.</t>
  </si>
  <si>
    <t>Stevens, David/F-2509-2010</t>
  </si>
  <si>
    <t>Stevens, David/0000-0002-7283-4405</t>
  </si>
  <si>
    <t>10.1007/s005850050824</t>
  </si>
  <si>
    <t>220CY</t>
  </si>
  <si>
    <t>Green Submitted, Green Accepted, gold</t>
  </si>
  <si>
    <t>WOS:000081648000012</t>
  </si>
  <si>
    <t>Grotti, M; Rivaro, P; Leardi, R; Magi, E</t>
  </si>
  <si>
    <t>Three-way principal component analysis as a powerful tool to process marine environmental data sets</t>
  </si>
  <si>
    <t>ANNALI DI CHIMICA</t>
  </si>
  <si>
    <t>PHYTOPLANKTON</t>
  </si>
  <si>
    <t>A study of the marine ecosystem usually requires management of large and complex data sets. The multivariate technique Three-way principal component analysis has been applied to a relatively small set of oceanographic data. Sea water samples were collected during the Italian Antarctic Expedition 1994-95 and the following parameters were considered: sea water temperature and salinity, dissolved oxygen, nutrients (silicate, phosphate, nitrate plus nitrite) and phytoplanktonic pigments (total chlorophyll, chlorophyll a, phaeopigments, carotenoids). The resulting plots confirmed in a self-explanatory way some well-known assumptions, thus showing that Three-way Principal Component Analysis is a powerful instrument for the interpretation of marine environmental data sets.</t>
  </si>
  <si>
    <t>Univ Genoa, Dipartimento Chim &amp; Chim Ind, I-16146 Genoa, Italy; Univ Genoa, Dipartimento Chim &amp; Tecnol Farmaceut &amp; Alimentari, I-16147 Genoa, Italy</t>
  </si>
  <si>
    <t>University of Genoa; University of Genoa</t>
  </si>
  <si>
    <t>Grotti, M (corresponding author), Univ Genoa, Dipartimento Chim &amp; Chim Ind, Via Dodecaneso 31, I-16146 Genoa, Italy.</t>
  </si>
  <si>
    <t>Magi, Emanuele/C-9564-2011; Rivaro, Paola/I-8305-2012; Grotti, Marco/HGU-3949-2022</t>
  </si>
  <si>
    <t>Magi, Emanuele/0000-0002-8183-5020; Grotti, Marco/0000-0001-6956-5761; Leardi, Riccardo/0000-0003-1685-6826</t>
  </si>
  <si>
    <t>SOC CHIMICA ITALIANA</t>
  </si>
  <si>
    <t>ROME</t>
  </si>
  <si>
    <t>VIALE LIEGI 48, I-00198 ROME, ITALY</t>
  </si>
  <si>
    <t>0003-4592</t>
  </si>
  <si>
    <t>ANN CHIM-ROME</t>
  </si>
  <si>
    <t>Ann. Chim.</t>
  </si>
  <si>
    <t>JUL-AUG</t>
  </si>
  <si>
    <t>7-8</t>
  </si>
  <si>
    <t>Chemistry, Analytical; Environmental Sciences</t>
  </si>
  <si>
    <t>Chemistry; Environmental Sciences &amp; Ecology</t>
  </si>
  <si>
    <t>210MM</t>
  </si>
  <si>
    <t>WOS:000081109300015</t>
  </si>
  <si>
    <t>Davis, PB</t>
  </si>
  <si>
    <t>Beyond guidelines - A model for Antarctic tourism</t>
  </si>
  <si>
    <t>ANNALS OF TOURISM RESEARCH</t>
  </si>
  <si>
    <t>wilderness management; Antarctic tourism; limits of acceptable change</t>
  </si>
  <si>
    <t>The adequacy of current policies to protect the continent against possible negative impacts of tourism are hotly debated. This article considers the Limits of Acceptable Change model, used in the United States and Australia, as a possible approach to the challenges of Antarctic tourism. Although it is certain that such a comprehensive plan could not currently be accepted by the Antarctic Treaty Parties, it does provide a framework illustrating why such a plan is necessary and holy it might work in Antarctica. The paper concludes that goals and objectives about Antarctic tourism, visitor sites, and monitoring must be initiated to protect the regions wilderness. (C) 1999 Elsevier Science Ltd. All rights reserved.</t>
  </si>
  <si>
    <t>Univ Cambridge, Scott Polar Res Inst, Cambridge CB2 5LJ, England</t>
  </si>
  <si>
    <t>Davis, PB (corresponding author), Univ Cambridge, Scott Polar Res Inst, Cambridge CB2 5LJ, England.</t>
  </si>
  <si>
    <t>0160-7383</t>
  </si>
  <si>
    <t>ANN TOURISM RES</t>
  </si>
  <si>
    <t>Ann. Touris. Res.</t>
  </si>
  <si>
    <t>10.1016/S0160-7383(98)00106-6</t>
  </si>
  <si>
    <t>Hospitality, Leisure, Sport &amp; Tourism; Sociology</t>
  </si>
  <si>
    <t>Social Sciences - Other Topics; Sociology</t>
  </si>
  <si>
    <t>227WZ</t>
  </si>
  <si>
    <t>WOS:000082104100002</t>
  </si>
  <si>
    <t>Misharina, TA; Terenina, MB; Golovnya, RV</t>
  </si>
  <si>
    <t>Volatile carbonyl compounds and alcohols, components of flavor of hydrobionts (review)</t>
  </si>
  <si>
    <t>APPLIED BIOCHEMISTRY AND MICROBIOLOGY</t>
  </si>
  <si>
    <t>FERMENTED SMALL SHRIMP; WHITEFISH COREGONUS-CLUPEAFORMIS; AROMA COMPOUNDS; COOKED ODOR; ANTARCTIC KRILL; LIPID OXIDATION; RAW-MATERIAL; GILL TISSUE; FISH TISSUE; TROUT GILL</t>
  </si>
  <si>
    <t>Results of studies of the compositions of carbonyl compounds and alcohols in fresh and cooked marine and freshwater fish, shellfish, and mollusks are summarized. The compositions of major aroma-forming compounds of these hydrobionts are compared, and their changes induced by processing and storage of these products are described. The roles of certain specific compounds in the formation of aroma were examined. Possible precursors of volatile compounds and pathways of their synthesis are considered, and olfactory perception thresholds of aroma-forming concentrations of certain compounds are given.</t>
  </si>
  <si>
    <t>Russian Acad Sci, Emanuel Inst Biochem Phys, Moscow 117977, Russia</t>
  </si>
  <si>
    <t>Russian Academy of Sciences; Emanuel Institute of Biochemical Physics</t>
  </si>
  <si>
    <t>0003-6838</t>
  </si>
  <si>
    <t>APPL BIOCHEM MICRO+</t>
  </si>
  <si>
    <t>Appl. Biochem. Microbiol.</t>
  </si>
  <si>
    <t>214TY</t>
  </si>
  <si>
    <t>WOS:000081344700001</t>
  </si>
  <si>
    <t>Kiernan, K; McConnell, A</t>
  </si>
  <si>
    <t>Geomorphology of the sub-Antarctic Australian territory of Heard Island-McDonald Island</t>
  </si>
  <si>
    <t>AUSTRALIAN GEOGRAPHER</t>
  </si>
  <si>
    <t>Heard Island; McDonald Island; Macquarie Island; other sub-Antarctic islands; geomorphology; volcanism; glaciation; marine processes; sea-level rise</t>
  </si>
  <si>
    <t>HAWAII; LAVA</t>
  </si>
  <si>
    <t>The geomorphology of Heard Island-McDonald Island is primarily the product of close interplay between volcanism, glaciation, and vigorous marine processes in a stormy sub-Antarctic environment. The dominant landform is the strato-volcano Big Ben (2745 m), which is the highest mountain on Australian territory outside Antarctica. Other volcanic landforms include scoria cones, dentes, open vertical volcanic conduits, lava flows and lava tubes. Volcanic activity is ongoing from the summit of Big Ben, and from Samarang Hill on McDonald Island. Early, but unproven, glacial sediments may exist within the Late Miocene-Early Pliocene Drygalski Formation, which forms a 300 m high plateau along the northern coast of Heard Island. Growth of the present glaciers, some of which reach sea level, has been a response to progressive growth of the volcanoes. A variety of erosional and depositional glacial landforms is present, including major lateral moraines and extensive hummocky moraines. Vigorous longshore drift and an abundant sediment supply have produced a large spit at the downdrift end of the island, and formed bars from reworked glacigenic sediment that now impound proglacial estuarine lagoons, some of which have grown rapidly over recent decades as tidewater glaciers have retreated. Integrated study of the volcanic, glacial and coastal sequences offers the possibility of constructing a well-dated record of climate change. Research into the geomorphology, surficial sediments, and contemporary geomorphological processes, including glaciofluvial sediment flux, is also important as an aid to environmental management on land, and to management of the adjacent marine environment.</t>
  </si>
  <si>
    <t>Univ Newcastle, Newcastle, NSW 2308, Australia</t>
  </si>
  <si>
    <t>University of Newcastle</t>
  </si>
  <si>
    <t>Forest Practices Board, 30 Patrick St, Hobart, Tas 7000, Australia.</t>
  </si>
  <si>
    <t>kevink@fpb.tas.gov.au</t>
  </si>
  <si>
    <t>ROUTLEDGE JOURNALS, TAYLOR &amp; FRANCIS LTD</t>
  </si>
  <si>
    <t>2-4 PARK SQUARE, MILTON PARK, ABINGDON OX14 4RN, OXON, ENGLAND</t>
  </si>
  <si>
    <t>0004-9182</t>
  </si>
  <si>
    <t>1465-3311</t>
  </si>
  <si>
    <t>AUST GEOGR</t>
  </si>
  <si>
    <t>Aust. Geogr.</t>
  </si>
  <si>
    <t>10.1080/00049189993693</t>
  </si>
  <si>
    <t>Geography</t>
  </si>
  <si>
    <t>243QL</t>
  </si>
  <si>
    <t>WOS:000083008700002</t>
  </si>
  <si>
    <t>Scott, S</t>
  </si>
  <si>
    <t>Australian diplomacy opposing Japanese Antarctic whaling 1945-1951: The role of legal argument</t>
  </si>
  <si>
    <t>AUSTRALIAN JOURNAL OF INTERNATIONAL AFFAIRS</t>
  </si>
  <si>
    <t>Univ New S Wales, Sch Polit Sci, Kensington, NSW 2033, Australia</t>
  </si>
  <si>
    <t>University of New South Wales Sydney</t>
  </si>
  <si>
    <t>Scott, S (corresponding author), Univ New S Wales, Sch Polit Sci, POB 1, Kensington, NSW 2033, Australia.</t>
  </si>
  <si>
    <t>CARFAX PUBLISHING</t>
  </si>
  <si>
    <t>BASINGSTOKE</t>
  </si>
  <si>
    <t>RANKINE RD, BASINGSTOKE RG24 8PR, HANTS, ENGLAND</t>
  </si>
  <si>
    <t>0004-9913</t>
  </si>
  <si>
    <t>AUST J INT AFF</t>
  </si>
  <si>
    <t>Aust. J. Int. Aff.</t>
  </si>
  <si>
    <t>10.1080/00049919993953</t>
  </si>
  <si>
    <t>International Relations</t>
  </si>
  <si>
    <t>219LD</t>
  </si>
  <si>
    <t>WOS:000081608000004</t>
  </si>
  <si>
    <t>McMinn, A; Ashworth, C; Ryan, K</t>
  </si>
  <si>
    <t>Growth and productivity of Antarctic Sea ice algae under PAR and UV irradiances</t>
  </si>
  <si>
    <t>BOTANICA MARINA</t>
  </si>
  <si>
    <t>MCMURDO-SOUND; ULTRAVIOLET-RADIATION; MICROALGAE; PHOTOSYNTHESIS; DIATOMS; PHYTOPLANKTON; SEDIMENTS; ECOLOGY; RATES; BLOOM</t>
  </si>
  <si>
    <t>A light perturbation experiment on sea ice at Cape Evans in 1996 found significant differences in biomass accumulation between ice algal assemblages exposed to additional UVB, UVA and PAR irradiances and those exposed to either control or elevated PAR and UVA without UVB. Sea ice with its snow cover removed (and thus exposed to additional UVB, UVA and PAR) had a 40 % lower rate of biomass accumulation than sea ice with its snow cover removed but covered with UVB-absorbing mylar. Chlorophyll-specific production under PAR was up to 0.05 mg C (mg Chl a)(-1) h(-1) although it was approximately 0.02 mg C (mg Chi a)(-1) h(-1) at ambient under ice irradiances of 2-6 mu mol photons m(-2) s(-1) PAR. UVB irradiation was found to have a greater impact on highly shade-adapted sea ice algal communities beneath thick ice with a thick snow cover than on thinner ice with less snow.</t>
  </si>
  <si>
    <t>Univ Tasmania, Inst Antarctic &amp; So Ocean Studies, Hobart, Tas 7001, Australia; Univ Tasmania, Dept Plant Sci, Hobart, Tas 7001, Australia; Ind Res Ltd, Wellington, New Zealand</t>
  </si>
  <si>
    <t>University of Tasmania; University of Tasmania; Callaghan Innovation</t>
  </si>
  <si>
    <t>Univ Tasmania, Inst Antarctic &amp; So Ocean Studies, Box 252-77, Hobart, Tas 7001, Australia.</t>
  </si>
  <si>
    <t>Ryan, Ken/F-5652-2013; McMinn, Andrew/A-9910-2008</t>
  </si>
  <si>
    <t>Ryan, Ken/0000-0001-7075-0112</t>
  </si>
  <si>
    <t>WALTER DE GRUYTER GMBH</t>
  </si>
  <si>
    <t>GENTHINER STRASSE 13, D-10785 BERLIN, GERMANY</t>
  </si>
  <si>
    <t>0006-8055</t>
  </si>
  <si>
    <t>1437-4323</t>
  </si>
  <si>
    <t>BOT MAR</t>
  </si>
  <si>
    <t>Bot. Marina</t>
  </si>
  <si>
    <t>10.1515/BOT.1999.046</t>
  </si>
  <si>
    <t>235NJ</t>
  </si>
  <si>
    <t>WOS:000082547800012</t>
  </si>
  <si>
    <t>Van der Avoird, E; Duynkerke, PG</t>
  </si>
  <si>
    <t>Turbulence in a katabatic flow - Does it resemble turbulence in stable boundary layers over flat surfaces?</t>
  </si>
  <si>
    <t>BOUNDARY-LAYER METEOROLOGY</t>
  </si>
  <si>
    <t>energy balance; glacier; katabatic flow; stable boundary layer; turbulence</t>
  </si>
  <si>
    <t>ANTARCTIC ICE SHELF; MIDLATITUDE GLACIER; MOISTURE BUDGETS; MELTING SNOW; WIND; HEAT; MOMENTUM; BALANCE; FLUXES; SUMMER</t>
  </si>
  <si>
    <t>Turbulence measurements performed in a stable boundary layer over the sloping ice surface of the Vatnajokull in Iceland are described. The boundary layer, in which katabatic forces are stronger than the large-scale forces, has a structure that closely resembles that of a stable boundary layer overlying a flat land surface, although there are some important differences. In order to compare the two situations the set-up of the instruments on an ice cap in Iceland was reproduced on a flat grass surface at Cabauw, the Netherlands. Wind speed and temperature gradients were calculated and combined with flux measurements made with a sonic anemometer in order to obtain the local stability functions phi(m) and phi(h) as a function of the local stability parameter z/L. Unlike the situation at Cabauw, where phi(m) was linear as a function of z/L, in the katabatically forced boundary layer, the dependence of phi(m) on stability was found to be non-linear and related to the height of the wind maximum. Thermal stratification and the depth of the stable boundary layer however seem to be rather similar under these two different forcing conditions. Furthermore, measurements on the ice were used to construct the energy balance. These showed good agreement between observed melt and components contributing to the energy balance: net radiation (supplying 55% of the energy), sensible heat flux (30%) and latent heat flux (15%). Local sources and sinks in the turbulent kinetic energy budget are summed and indicate a reasonable balance in near-neutral conditions but not in more stable situations. The standard deviation of the velocity fluctuations sigma(u), sigma(v), and sigma(w), can be scaled satisfactorily with the local friction velocity u(*) and the standard deviation of the temperature fluctuation sigma(theta) with the local temperature scale theta(*).</t>
  </si>
  <si>
    <t>Inst Marine &amp; Atmospher Res, NL-3584 CC Utrecht, Netherlands</t>
  </si>
  <si>
    <t>Inst Marine &amp; Atmospher Res, Princetonplein 5, NL-3584 CC Utrecht, Netherlands.</t>
  </si>
  <si>
    <t>DORDRECHT</t>
  </si>
  <si>
    <t>VAN GODEWIJCKSTRAAT 30, 3311 GZ DORDRECHT, NETHERLANDS</t>
  </si>
  <si>
    <t>0006-8314</t>
  </si>
  <si>
    <t>1573-1472</t>
  </si>
  <si>
    <t>BOUND-LAY METEOROL</t>
  </si>
  <si>
    <t>Bound.-Layer Meteor.</t>
  </si>
  <si>
    <t>217LJ</t>
  </si>
  <si>
    <t>WOS:000081500500004</t>
  </si>
  <si>
    <t>Simard, Y; Lavoie, D</t>
  </si>
  <si>
    <t>The rich krill aggregation of the Saguenay - St. Lawrence Marine Park: hydroacoustic and geostatistical biomass estimates, structure, variability, and significance for whales</t>
  </si>
  <si>
    <t>SOUND-SCATTERING LAYERS; EUPHAUSIID MEGANYCTIPHANES-NORVEGICA; ANTARCTIC KRILL; THYSANOESSA-RASCHII; CONTINENTAL-SHELF; VANCOUVER-ISLAND; SURFACE SWARMS; ESTUARY; GULF; ABUNDANCE</t>
  </si>
  <si>
    <t>The euphausiid aggregation at the head of the main channel of the estuary and Gulf of St. Lawrence was surveyed using 120- and 38-kHz hydroacoustics in the summers of 1994 and 1995. A systematic sampling grid covering an area of 1319 km(2) was visited eight times. Fish echoes were separated from krill echoes using the difference in backscattering strength at the two frequencies. Global estimates were obtained from geostatistical methods for both total biomass and the fraction exceeding 5 g wet m(-3). The euphausiids were always exclusively composed of individuals of the oldest cohorts (2+) of the two species Thysanoessa raschi and Meganyctiphanes nonvegica. Total biomass varied from 8 +/- 2 to 96 +/- 8 kt and cutoff biomass from 0 to 56 +/- 6 kt. The two types of estimates were linearly related. Biomass was autocorrelated up to distances of 10-15 km. An anisotropic structure with radii of similar to 2 x 5 km, stretched along the channel axis, was discernible at a small scale. The particular size distribution of euphausiids and the large variations in the global estimates appear to be controlled by horizontal transport. The study area appears to be the richest krill aggregation site yet documented in the northwest Atlantic, with densities similar to the rich krill aggregation areas of the Antarctic. The krill aggregation is at the heart of this traditional whale feeding ground.</t>
  </si>
  <si>
    <t>Fisheries &amp; Oceans Canada, Maurice Lamontagne Inst, Fish &amp; Marine Mammal Div, Mt Joli, PQ G5H 3Z4, Canada</t>
  </si>
  <si>
    <t>Simard, Y (corresponding author), Fisheries &amp; Oceans Canada, Maurice Lamontagne Inst, Fish &amp; Marine Mammal Div, POB 1000,850 Route Mer, Mt Joli, PQ G5H 3Z4, Canada.</t>
  </si>
  <si>
    <t>Simard, Yvan/AAG-6158-2020</t>
  </si>
  <si>
    <t>10.1139/cjfas-56-7-1182</t>
  </si>
  <si>
    <t>222MB</t>
  </si>
  <si>
    <t>WOS:000081788400005</t>
  </si>
  <si>
    <t>Daneri, GA; Carlini, AR</t>
  </si>
  <si>
    <t>Spring and summer predation on fish by the Antarctic fur seal, Arctocephalus gazella, at King George Island, South Shetland Islands</t>
  </si>
  <si>
    <t>CANADIAN JOURNAL OF ZOOLOGY</t>
  </si>
  <si>
    <t>BREEDING-SEASON; AUTUMN PERIOD; LAURIE ISLAND; HEARD ISLAND; DIET; WINTER; PETERS; POINT</t>
  </si>
  <si>
    <t>The fish component of the diet of nonbreeding male Antarctic fur seals, Arctocephalus gazella, was analyzed from 70 seats collected at Stranger Point, King George Island, South Shetland Islands, during the austral spring (n = 36) and summer (n = 34) of 1993-1994. Fish occurred in approximately 70% of seats that contained food remains irrespective of season. In spring, the main fish prey were Electrona antarctica, Pleuragramma antarcticum, and Notolepis coatsi, which together gave two-thirds of the 110 otoliths recovered. In summer, 457 otoliths were retrieved; the most frequent and abundant species were Gymnoscopelus nicholsi, E. antarctica, and P. antarcticum, which represented over 80% of the otoliths recovered. A substantial increase in the amount of fish ingested by fur seals occurred from spring to summer concomitant with a change in the relative proportion of fish taxa. Most fish species identified are pelagic and feed on krill. During the study period, commercial fishing in the area was not based upon any of the fish species identified.</t>
  </si>
  <si>
    <t>Museo Argentino Ciencias Nat Bernardino Rivadavia, Div Mastozool, RA-1405 Buenos Aires, DF, Argentina; Inst Antartico Argentino, Dept Biol, RA-1010 Buenos Aires, DF, Argentina</t>
  </si>
  <si>
    <t>Museo Argentino de Ciencias Naturales Bernardino Rivadavia (MACN); Instituto Antartico Argentino</t>
  </si>
  <si>
    <t>Museo Argentino Ciencias Nat Bernardino Rivadavia, Div Mastozool, Ave Angel Gallardo 470, RA-1405 Buenos Aires, DF, Argentina.</t>
  </si>
  <si>
    <t>CANADIAN SCIENCE PUBLISHING</t>
  </si>
  <si>
    <t>65 AURIGA DR, SUITE 203, OTTAWA, ON K2E 7W6, CANADA</t>
  </si>
  <si>
    <t>1480-3283</t>
  </si>
  <si>
    <t>Can. J. Zool.</t>
  </si>
  <si>
    <t>10.1139/cjz-77-7-1157</t>
  </si>
  <si>
    <t>252PC</t>
  </si>
  <si>
    <t>WOS:000083510100016</t>
  </si>
  <si>
    <t>Pongratz, R; Heumann, KG</t>
  </si>
  <si>
    <t>Production of methylated mercury, lead, and cadmium by marine bacteria as a significant natural source for atmospheric heavy metals in polar regions</t>
  </si>
  <si>
    <t>SULFATE-REDUCING BACTERIA; INORGANIC MERCURY; WEDDELL SEA; ICE; METHYLMERCURY; ENVIRONMENT</t>
  </si>
  <si>
    <t>Mixed and pure bacterial cultures of polar origin were incubated in model experiments under polar conditions. The releasing rates of monomethyl and dimethyl mercury (MeHg+ and Me2Hg), trimethyl lead (Me3Pb+), and monomethyl cadmium (MeCd+) were determined in dependence on the incubation time. This is the first time that methylation of cadmium by bacteria could be shown. The formation of tetramethyl and dimethyl lead (Me4Pb and Me2Pb2+) was also checked but no release of these methylated compounds was observed. The determination of methylated mercury compounds was carried out by using a purge and trap system after derivatisation of monomethyl mercury into the volatile methylethyl mercury compound, subsequent separation by gas chromatography and detection with an atomic fluorescence detector. A differential pulse anodic stripping voltammetric method was applied for the determination of Me3Pb+ and MeCd+, respectively The mixed bacterial cultures showed production of trimethyl lead and monomethyl cadmium, but no methylated mercury compound was released by these marine species. In contrast to that the isolated pure bacterial cultures released relatively high amounts of dimethyl mercury besides monomethyl mercury, trimethyl lead, and monomethyl cadmium. These methylated heavy metal compounds were preferably formed in the stationary period of bacterial growth. Depth profiles of methylated heavy metal compounds in the Arctic Ocean and the South Atlantic show maximum concentrations in water depths of up to 50 m, often correlating well with the chlorophyll-a content But also significant concentrations in depths of about 200 m were found, where no chlorophyll-a could be detected. This is an important indication that, at least, at deeper water levels bacteria must be the marine species which mainly contribute to methylated heavy metals. Dimethyl mercury, released by marine bacteria into the polar ocean, is the methylated heavy metal compound which contributes most to the atmospheric heavy metal content in the remote areas of Antarctica and the Arctic due to its high volatility. From measured Me2Hg concentrations in the surface seawater and the corresponding marine air at polar locations a preliminary atmospheric ocean-atmosphere transfer could be estimated to be 0.21x10(9) g yr(-1) and 0.24x10(9) g yr(-1) for the Antarctic and Arctic Ocean, respectively. (C) 1999 Elsevier Science Ltd. All rights reserved.</t>
  </si>
  <si>
    <t>Johannes Gutenberg Univ Mainz, Inst Inorgan Chem &amp; Analyt Chem, D-55099 Mainz, Germany</t>
  </si>
  <si>
    <t>Johannes Gutenberg University of Mainz</t>
  </si>
  <si>
    <t>Johannes Gutenberg Univ Mainz, Inst Inorgan Chem &amp; Analyt Chem, Becherweg 24, D-55099 Mainz, Germany.</t>
  </si>
  <si>
    <t>1879-1298</t>
  </si>
  <si>
    <t>10.1016/S0045-6535(98)00591-8</t>
  </si>
  <si>
    <t>199XM</t>
  </si>
  <si>
    <t>WOS:000080509400009</t>
  </si>
  <si>
    <t>Woods, R; McLean, S; Burton, HR</t>
  </si>
  <si>
    <t>Pharmacokinetics of intravenously administered ketamine in southern elephant seals (Mirounga leonina)</t>
  </si>
  <si>
    <t>southern elephant seals; ketamine; pharmacokinetics; intravenous dosage; physiological state; wild animals; anesthesia; subantarctic</t>
  </si>
  <si>
    <t>XYLAZINE HYDROCHLORIDE; CHEMICAL RESTRAINT; PREMEDICATION; COMBINATIONS</t>
  </si>
  <si>
    <t>Southern elephant seals (Mirounga leonina) are large, potentially dangerous animals which must be restrained before study or treatment. However, chemical restraint is unpredictable, possibly because of differences in body composition during fasting ashore, and circulatory adaptations to enable diving. The pharmacokinetics of ketamine (1.1 mg/kg i.v.) was studied in 15 southern elephant seals which had come ashore on Macquarie Island. The animals were first sedated with pethidine (5 mg/kg i.m.) to allow intravenous access. There was great variability in the calculated pharmacokinetic parameters, possibly due to circulatory changes associated with periods of apnoea which characterise this animal's response to anaesthetics. The median values were similar to those reported for other species: distribution t(1/2) = 2.5 min (range 1-11 min); elimination t(1/2) = 43 min (range 17-108 min); apparent volume of distribution, 1474 ml/kg (range 830-9301 ml/kg); clearance, 33 ml/min/kg (range 12-57 ml/min/kg). This was the first investigation of drug disposition in any seal species, and the first in any free-ranging wild animal. It is important to obtain pharmacological data in animals in whom drugs are used, but pre-catheterised captive animals may provide less variable data. (C) 1999 Elsevier Science Inc. All rights reserved.</t>
  </si>
  <si>
    <t>Univ Tasmania, Sch Pharm, Hobart, Tas 7001, Australia; Australian Antarctic Div, Kingston, Tas 7050, Australia</t>
  </si>
  <si>
    <t>University of Tasmania; Australian Antarctic Division</t>
  </si>
  <si>
    <t>McLean, S (corresponding author), Univ Tasmania, Sch Pharm, POB 252-26, Hobart, Tas 7001, Australia.</t>
  </si>
  <si>
    <t>McLean, Stuart/0000-0003-1041-6563</t>
  </si>
  <si>
    <t>10.1016/S0742-8413(99)00035-3</t>
  </si>
  <si>
    <t>232DK</t>
  </si>
  <si>
    <t>WOS:000082350300011</t>
  </si>
  <si>
    <t>Heywood, KJ; Sparrow, MD; Brown, J; Dickson, RR</t>
  </si>
  <si>
    <t>Frontal structure and Antarctic Bottom Water Flow through the Princess Elizabeth Trough, Antarctica</t>
  </si>
  <si>
    <t>INDIAN-OCEAN; WEDDELL GYRE; PRYDZ BAY; CIRCULATION; MASSES; STRATIFICATION; TRACERS; SECTOR; REGION; DEEP</t>
  </si>
  <si>
    <t>Hydrographic, current meter and ADCP data collected during two recent cruises in the South Indian Ocean (RRS Discovery cruise 200 in February 1993 and RRS Discovery cruise 207 in February 1994) are used to investigate the current structure within the Princess Elizabeth Trough (PET), near the Antarctic continent at 85 degrees E, 63-66 degrees S. This gap in topography between the Kerguelen Plateau and the Antarctic continent, with sill depth 3750 m, provides a route for the exchange of Antarctic Bottom Water between the Australian-Antarctic Basin and the Weddell-Enderby Basin. Shears derived from ADCP and hydrographic data are used to deduce the barotropic component of the velocity field, and thus the volume transports of the water masses. Both the Southern Antarctic Circumpolar Current Front (SACCF) and the Southern Boundary of the Antarctic Circumpolar Current (SB) pass through the northern PET (latitudes 63 to 64.5 degrees S) associated with eastward transports. These are deep-reaching fronts with associated bottom velocities of several cm s(-1). Antarctic Bottom water (AABW)from the Weddell-Enderby Basin is transported eastwards in the jets associated with these fronts. The transport of water with potential temperatures less than 0 degrees C is 3 (+/- 1) Sv. The SE is shown to meander in the PET, caused by the cyclonic gyre immediately west of the PET in Prydz Bay. The AABW therefore also meanders before continuing eastwards. In the southern PET (latitudes 64.5 to 66 degrees S) a bottom intensified flow of AABW is observed flowing west. This AABW has most likely formed not far from the PET, along the Antarctic continental shelf and slope to the east. Current meters show that speeds in this flow have an annual scalar mean of 10 cm s(-1). The transport of water with potential temperatures less than 0 degrees C is 20 (+/- 3) Sv. The southern PET features westward flow throughout the water column, since the shallower depths are dominated by the flow associated with the Antarctic Slope Front. Including the westward Row of bottom water, the total westward transport of the whole water column in the southern PET is 45 (+/- 6) Sv. (C) 1999 Elsevier Science Ltd. All rights reserved.</t>
  </si>
  <si>
    <t>Univ E Anglia, Sch Environm Sci, Norwich NR4 7TJ, Norfolk, England; Ctr Environm Fisheries &amp; Aquaculture Sci, Lowestoft NR33 0HT, Suffolk, England</t>
  </si>
  <si>
    <t>University of East Anglia; Centre for Environment Fisheries &amp; Aquaculture Science</t>
  </si>
  <si>
    <t>k.heywood@uea.ac.uk</t>
  </si>
  <si>
    <t>Heywood, Karen/0000-0001-9859-0026</t>
  </si>
  <si>
    <t>10.1016/S0967-0637(98)00108-3</t>
  </si>
  <si>
    <t>204WE</t>
  </si>
  <si>
    <t>WOS:000080787000004</t>
  </si>
  <si>
    <t>Messias, MJ; Andrié, C; Mémery, L; Mercier, H</t>
  </si>
  <si>
    <t>Tracing the North Atlantic Deep Water through the Romanche and Chain fracture zones with chlorofluoromethanes</t>
  </si>
  <si>
    <t>WESTERN BOUNDARY CURRENT; LABRADOR SEA-WATER; TOTAL GEOSTROPHIC CIRCULATION; EQUATORIAL ATLANTIC; SOUTH-ATLANTIC; BOTTOM WATER; OVERFLOW WATER; FLOW PATTERNS; OCEAN; TRANSPORTS</t>
  </si>
  <si>
    <t>Chlorofluoromethanes (CFMs) F-11 and F-12 were measured during August 1991 and November 1992 in the Romanche and Chain Fracture Zones in the equatorial Atlantic. The CFM distributions showed the two familiar signatures of the more recently ventilated North Atlantic Deep Water (NADW) seen in the Deep Western Boundary Current (DWBC). The upper maximum is centered around 1600 m at the level of the Upper North Atlantic Deep water (UNADW) and the deeper maximum around 3800 m at level of the Lower North Atlantic Deep Water (LNADW). These observations suggest a bifurcation at the western boundary, some of the NADW spreading eastward with the LNADW entering the Romanche and the Chain Fracture Zones. The upper core (sigma(1.5) = 34.70 kg m(-3)) was observed eastward as far as 5 degrees W. The deep CFM maximum (sigma(4) = 45.87 kg m(-3)), associated with an oxygen maximum, decreased dramatically at the sills of the Romanche Fracture Zone: east of the sills, the shape of the CFM profiles reflects mixing and deepening of isopycnals. Mean apparent water ages computed from the F-11/F-12 ratio are estimated. Near the bottom, no enrichment in CFMs is detected at the entrance of the fracture zones in the cold water mass originating from the Antarctic Bottom Water flow. (C) 1999 Elsevier Science Ltd. All rights reserved.</t>
  </si>
  <si>
    <t>Univ Paris 06, ORSTOM, CNRS, Inst Pierre Simon Laplace,Lab Oceanog Dynam &amp; Cli, F-75005 Paris, France; CENS, Lab Modelisat Climat &amp; Environm, F-91119 Gif Sur Yvette, France; UBO, IFREMER, CNRS, Lab Phys Oceans,Ctr Brest, F-29280 Plouzane, France</t>
  </si>
  <si>
    <t>Institut de Recherche pour le Developpement (IRD); Sorbonne Universite; Universite Paris Cite; Universite Paris Saclay; Centre National de la Recherche Scientifique (CNRS); CNRS - National Institute for Earth Sciences &amp; Astronomy (INSU); CEA; Centre National de la Recherche Scientifique (CNRS); Ifremer; Institut de Recherche pour le Developpement (IRD); Universite de Bretagne Occidentale; Institut Universitaire Europeen de la Mer (IUEM)</t>
  </si>
  <si>
    <t>Univ Paris 06, ORSTOM, CNRS, Inst Pierre Simon Laplace,Lab Oceanog Dynam &amp; Cli, 4 Pl Jussieu, F-75005 Paris, France.</t>
  </si>
  <si>
    <t>memery@lodyc.jussieu.fr</t>
  </si>
  <si>
    <t>; MERCIER, Herle/L-4161-2015</t>
  </si>
  <si>
    <t>Messias, Marie-Jose/0000-0002-3852-2854; MERCIER, Herle/0000-0002-1940-617X</t>
  </si>
  <si>
    <t>10.1016/S0967-0637(99)00005-9</t>
  </si>
  <si>
    <t>WOS:000080787000007</t>
  </si>
  <si>
    <t>Kapitsa, AP; Gavrilov, AA</t>
  </si>
  <si>
    <t>Confirmation of the hypothesis of the natural origin of the Antarctic ozone hole</t>
  </si>
  <si>
    <t>Moscow State Univ, Moscow, Russia; Taifun Sci Ind Assoc, Obninsk, Russia</t>
  </si>
  <si>
    <t>Lomonosov Moscow State University</t>
  </si>
  <si>
    <t>Kapitsa, AP (corresponding author), Moscow State Univ, Moscow, Russia.</t>
  </si>
  <si>
    <t>Gavrilov, Alexey/N-2978-2016; Gavrilov, Alexey A./K-3396-2013</t>
  </si>
  <si>
    <t>303HD</t>
  </si>
  <si>
    <t>WOS:000086415700031</t>
  </si>
  <si>
    <t>Suedfeld, P</t>
  </si>
  <si>
    <t>Women in the antarctic</t>
  </si>
  <si>
    <t>ENVIRONMENT AND BEHAVIOR</t>
  </si>
  <si>
    <t>Univ British Columbia, Vancouver, BC V5Z 1M9, Canada</t>
  </si>
  <si>
    <t>University of British Columbia</t>
  </si>
  <si>
    <t>Suedfeld, P (corresponding author), Univ British Columbia, Vancouver, BC V5Z 1M9, Canada.</t>
  </si>
  <si>
    <t>SAGE PUBLICATIONS INC</t>
  </si>
  <si>
    <t>THOUSAND OAKS</t>
  </si>
  <si>
    <t>2455 TELLER RD, THOUSAND OAKS, CA 91320 USA</t>
  </si>
  <si>
    <t>0013-9165</t>
  </si>
  <si>
    <t>ENVIRON BEHAV</t>
  </si>
  <si>
    <t>Environ. Behav.</t>
  </si>
  <si>
    <t>10.1177/00139169921972245</t>
  </si>
  <si>
    <t>Environmental Studies; Psychology, Multidisciplinary</t>
  </si>
  <si>
    <t>Environmental Sciences &amp; Ecology; Psychology</t>
  </si>
  <si>
    <t>215VH</t>
  </si>
  <si>
    <t>WOS:000081403800007</t>
  </si>
  <si>
    <t>Ensminger, JT; McCold, LN; Webb, JW</t>
  </si>
  <si>
    <t>Environmental impact assessment under the National Environmental Policy Act and the Protocol on Environmental Protection to the Antarctic Treaty</t>
  </si>
  <si>
    <t>ENVIRONMENTAL MANAGEMENT</t>
  </si>
  <si>
    <t>environment; impact assessment; Antarctica; NEPA; Protocol; Antarctic Treaty</t>
  </si>
  <si>
    <t>Antarctica has been set aside by the international community for protection as a natural reserve and a place for scientific research. Through the Antarctic Treaty of 1961, the signing nations ag reed to cooperate in protecting the antarctic environment, in conducting scientific studies, and in abstaining from the exercise of territorial claims. The 1991 signing of the Protocol on Environmental Protection to the Antarctic Treaty (Protocol) by representatives of the 26 nations comprising the Antarctic Treaty Consultative Parties (Parties) significantly strengthened environmental protection measures for the continent. The Protocol required ratification by each of the governments individually prior to official implementation. The US government ratified the Protocol by passage of the Antarctic Science, Tourism, and Conservation Act of 1997. Japan completed the process by ratifying the Protocol on December 15, 1997. US government actions undertaken in Antarctica are subject to the requirements of both the Protocol and the US National Environmental Policy Act (NEPA). There are differences in the scope and intent of the Protocol and NEPA; however, both require environmental impact assessment (EIA) as part of the planning process for proposed actions that have the potential for environmental impacts. In this paper we describe the two instruments and highlight key similarities and differences with particular attention to EIA. Through this comparison of the EIA requirements of NEPA and the Protocol, we show how the requirements of each can be used in concert to provide enhanced environmental protection for the antarctic environment. NEPA applies only to actions of the US government; therefore, because NEPA includes certain desirable attributes that have been refined and clarified through numerous court cases, and because the Protocol is just entering implementation internationally some recommendations are made for strengthening the procedural requirements of the Protocol for activities undertaken by all Parties in Antarctica. The Protocol gives clear and strong guidance for protection of specific, Valued antarctic environmental resources including intrinsic wilderness and aesthetic values, and the value of Antarctica as an area for scientific research. That guidance requires a higher standard of environmental protection for Antarctica than is required in other parts of the world. This paper shows that taken together NEPA and the Protocol call for closer examination of proposed actions and a more rigorous consideration of environmental impacts than either would alone. Three areas are identified where the EIA provisions of the Protocol could be strengthened to improve its effectiveness. First, the thresholds defined by the Protocol need to be clarified. Specifically, the meanings of the terms minor and transitory are not clear in the context of the Protocol. The use of or in the phrase minor or transitory further confuses the meaning. Second, cumulative impact assessment is called for by the Protocol but is not defined. A clear definition could reduce the chance that cumulative impacts would be given inadequate consideration. Finally, the public has limited opportunities to comment on or influence the preparation of initial or comprehensive environmental evaluations. Experience has shown that public input to environmental documents has a considerable influence on agency decision making and the quality of EIA that agencies perform.</t>
  </si>
  <si>
    <t>Oak Ridge Natl Lab, Div Energy, Oak Ridge, TN 37831 USA; Oak Ridge Natl Lab, Div Environm Sci, Oak Ridge, TN 37831 USA</t>
  </si>
  <si>
    <t>United States Department of Energy (DOE); Oak Ridge National Laboratory; United States Department of Energy (DOE); Oak Ridge National Laboratory</t>
  </si>
  <si>
    <t>Oak Ridge Natl Lab, Div Energy, POB 2008,Bldg 4500N, Oak Ridge, TN 37831 USA.</t>
  </si>
  <si>
    <t>0364-152X</t>
  </si>
  <si>
    <t>1432-1009</t>
  </si>
  <si>
    <t>ENVIRON MANAGE</t>
  </si>
  <si>
    <t>Environ. Manage.</t>
  </si>
  <si>
    <t>10.1007/s002679900211</t>
  </si>
  <si>
    <t>203DL</t>
  </si>
  <si>
    <t>WOS:000080692300002</t>
  </si>
  <si>
    <t>Morizur, Y; Berrow, SD; Tregenza, NJC; Couperus, AS; Pouvreau, S</t>
  </si>
  <si>
    <t>Incidental catches of marine-mammals in pelagic trawl fisheries of the northeast Atlantic</t>
  </si>
  <si>
    <t>FISHERIES RESEARCH</t>
  </si>
  <si>
    <t>marine mammal by-catch; trawl fisheries; Northeast Atlantic</t>
  </si>
  <si>
    <t>PORPOISE PHOCOENA-PHOCOENA; BY-CATCH; MORTALITY; SEA</t>
  </si>
  <si>
    <t>Marine mammal by-catch in 11 pelagic trawl fisheries operated by four different countries in the northeast Atlantic was studied. Observers accompanied commercial fishing vessels and monitored 374 rows totalling 1771 h of towing during 377 days fishing, Three species of marine mammal were identified in by-catches (white-sided dolphin, Lagenorhynchus acutus, common dolphin, Delphinus delphis and grey seal Halichoerus grypus) and a fourth, bottlenose dolphin Tursiops truncatus, was probably present. Dolphins were caught in four of the 11 fisheries and seal in one. In those fisheries with cetacean by-catch, rates varied from 0.0606 to 0.1000 per tow and 0.0107 to 0.0137 per hour of towing and were highest in the French sea bass fishery and lowest in the French tuna fishery. Grey seals were caught in the Irish Celtic Sea herring fishery at a rate of 0.0513 per tow or 0.0396 per hour of towing. The mean+/-SD dolphin catch rare for all fisheries combined was 0.048+/-0.013 per tow (one dolphin per 20.7 tows), or 0.0185+/-0.0019 per hour of towing (one dolphin per 98 h of towing) and, for all marine mammals, 0.059+/-0.019 (1 per 17.0 tows) or 0.0124+/-0.0121 (1 per 80.6 h of towing). 95% confidence intervals, calculated on untransformed data, for all fisheries combined were 0.4-1.6 dolphins per 100 h of towing. No operational factors were correlated with by-catch rates but the haul-back procedure was identified as a potentially important factor. All dolphin by-catches occurred during the night which may be a due to an association between cetaceans and trawlers at night. White-sided dolphins and grey seals were observed feeding around the net during towing and this behaviour may make them more vulnerable to capture. Operational difficulties in observing by-catch and potentially significant annual fluctuation in catch rates warrant further observer studies of these and other trawl fisheries, (C) 1999 Elsevier Science B,V. All rights reserved.</t>
  </si>
  <si>
    <t>IFREMER, Ctr Brest, F-29280 Plouzane, France</t>
  </si>
  <si>
    <t>Ifremer</t>
  </si>
  <si>
    <t>Berrow, SD (corresponding author), British Antarctic Survey, Marine Life Sci Div, High Cross,Madingley Rd, Cambridge CD3 0ET, England.</t>
  </si>
  <si>
    <t>Pouvreau, Stephane/0000-0003-2402-7366</t>
  </si>
  <si>
    <t>0165-7836</t>
  </si>
  <si>
    <t>FISH RES</t>
  </si>
  <si>
    <t>Fish Res.</t>
  </si>
  <si>
    <t>10.1016/S0165-7836(99)00013-2</t>
  </si>
  <si>
    <t>Fisheries</t>
  </si>
  <si>
    <t>203QU</t>
  </si>
  <si>
    <t>WOS:000080719000006</t>
  </si>
  <si>
    <t>Hunter, MA; Bickle, MJ; Nisbet, EG; Martin, A; Chapman, HJ</t>
  </si>
  <si>
    <t>Continental extensional setting for the Archean Belingwe Greenstone Belt, Zimbabwe: Reply</t>
  </si>
  <si>
    <t>CRATON; ORIGIN</t>
  </si>
  <si>
    <t>Univ Cambridge, Dept Earth Sci, Cambridge CB2 3EQ, England; Univ London, Royal Holloway &amp; Bedford New Coll, Dept Geol, Egham TW20 0EX, Surrey, England</t>
  </si>
  <si>
    <t>University of Cambridge; University of London; Royal Holloway University London</t>
  </si>
  <si>
    <t>Hunter, MA (corresponding author), British Antarctic Survey, High Cross,Madingley Rd, Cambridge CB3 0ET, England.</t>
  </si>
  <si>
    <t>Bickle, Michael J/A-7316-2012</t>
  </si>
  <si>
    <t>211NW</t>
  </si>
  <si>
    <t>WOS:000081167900028</t>
  </si>
  <si>
    <t>Sugden, DE; Summerfield, MA; Denton, GH; Wilch, TI; McIntosh, WC; Marchant, DR; Rutford, RH</t>
  </si>
  <si>
    <t>Landscape development in the Royal Society Range, southern Victoria Land, Antarctica: stability since the mid-Miocene</t>
  </si>
  <si>
    <t>GEOMORPHOLOGY</t>
  </si>
  <si>
    <t>landscape development; Royal Society Range; mid-Miocene</t>
  </si>
  <si>
    <t>TRANSANTARCTIC MOUNTAINS; DRY-VALLEYS; DRAINAGE BASINS; ICE-SHEET; UPLIFT; DENUDATION; PLIOCENE; BOUNDARY; EAST; GEOCHRONOLOGY</t>
  </si>
  <si>
    <t>Post-rifting landscape development in the Royal Society Range, a rift-flank block in the southern Victoria Land sector of the Transantarctic Mountains, has been reconstructed through a combination of morphological mapping and geochronological data. Creation of the Royal Society Range rift flank similar to 55 Ma BP was associated with extension in the Ross Sea Basin and some surface uplift of the Royal Society Range probably occurred at this time. Extrapolation of fission-track data for other sectors of the Transantarctic Mountains, coupled with a reconstruction of pre-rift stratigraphy, indicates that a seaward-thickening wedge of crustal section up to similar to 6 km at the coast has been removed since rifting. Much of this crustal stripping probably occurred in the early Cenozoic, and cosmogenic isotope data together with 40Ar/39Ar-dated volcanic cones and surficial ashes demonstrate that denudation over much of the Royal Society Range has been insignificant since the mid-Miocene. This denudation probably occurred primarily through fluvial processes, and the generally limited impact of subsequent glacial action has led to the preservation of elements of the pre-glacial fluvial landscape. The present elevation of a sub-aerially erupted lava flow constrains maximum surface uplift in the Royal Society Range over the past 7.8 Ma to less than 67 m, assuming present sea level as a datum. Similarities between the denudational and surface uplift histories of the Royal Society Range and the adjacent Dry Valleys area show that the latter has not experienced an unusual tectonic and glacial history, as has been previously suggested. Our analysis strongly supports the notion of a stable East Antarctic Ice Sheet and minimal landscape modification in the Royal Society Range since at least the mid-Miocene. (C) 1999 Elsevier Science B.V. All rights reserved.</t>
  </si>
  <si>
    <t>Univ Edinburgh, Dept Geog, Edinburgh EH8 9XP, Midlothian, Scotland; Univ Maine, Dept Geol Sci, Orono, ME 04469 USA; Univ Maine, Inst Quaternary Studies, Orono, ME 04469 USA; New Mexico Inst Min &amp; Technol, Dept Geosci, Socorro, NM 87801 USA; Boston Univ, Dept Earth Sci, Boston, MA 02215 USA; Univ Texas, Geosci Program, Dallas, TX 75230 USA</t>
  </si>
  <si>
    <t>University of Edinburgh; University of Maine System; University of Maine Orono; University of Maine System; University of Maine Orono; New Mexico Institute of Mining Technology; Boston University; University of Texas System; University of Texas Dallas</t>
  </si>
  <si>
    <t>Univ Edinburgh, Dept Geog, Drummond St, Edinburgh EH8 9XP, Midlothian, Scotland.</t>
  </si>
  <si>
    <t>office@geo.ed.ac.uk</t>
  </si>
  <si>
    <t>0169-555X</t>
  </si>
  <si>
    <t>1872-695X</t>
  </si>
  <si>
    <t>Geomorphology</t>
  </si>
  <si>
    <t>10.1016/S0169-555X(98)00108-1</t>
  </si>
  <si>
    <t>224AN</t>
  </si>
  <si>
    <t>WOS:000081873900001</t>
  </si>
  <si>
    <t>Langenfelds, RL; Francey, RJ; Steele, LP; Battle, M; Keeling, RF; Budd, WF</t>
  </si>
  <si>
    <t>Partitioning of the global fossil CO2 sink using a 19-year trend in atmospheric O2</t>
  </si>
  <si>
    <t>CARBON-DIOXIDE; OCEANIC UPTAKE; RATIO; AIR; CYCLE</t>
  </si>
  <si>
    <t>O-2/N-2 is measured in the Cape Grim Air Archive (CGAA), a suite of tanks filled with background air at Cape Grim, Tasmania (40.7 degrees S, 144.8 degrees E) between April 1978 and January 1997. Derived trends are compared with published O-2/N-2 records and assessed against limits on interannual variability of net terrestrial exchanges imposed by trends of delta(13)C in CO2. Two old samples from 1978 and 1987 and eight from 1996/97 survive critical selection criteria and give a mean 19-year trend in delta(O-2/N-2) of -16.7 +/- 0.5 per meg y(-1), implying net storage of +2.3 +/- 0.7 GtC (10(15) g carbon) yr(-1) of fossil fuel CO2 in the oceans and +0.2 +/- 0.9 GtC yr(-1) in the terrestrial biosphere. The uptake terms are consistent for both O-2/N-2 and delta(13)C tracers if the mean C-13 isotopic disequilibrium flux, combining terrestrial and oceanic contributions, is 93 +/- 15 GtC parts per thousand yr(-1).</t>
  </si>
  <si>
    <t>CSIRO Atmospher Res, Aspendale, Vic 3195, Australia; Princeton Univ, Dept Geosci, Princeton, NJ 08544 USA; Univ Calif San Diego, Scripps Inst Oceanog, La Jolla, CA 92093 USA; Univ Tasmania, Inst Antarctic &amp; So Ocean Studies, Hobart, Tas 7001, Australia</t>
  </si>
  <si>
    <t>Commonwealth Scientific &amp; Industrial Research Organisation (CSIRO); Princeton University; University of California System; University of California San Diego; Scripps Institution of Oceanography; University of Tasmania</t>
  </si>
  <si>
    <t>CSIRO Atmospher Res, Private Bag 1, Aspendale, Vic 3195, Australia.</t>
  </si>
  <si>
    <t>ray.langenfelds@dar.csiro.au</t>
  </si>
  <si>
    <t>Steele, Paul/B-3185-2009; Francey, Roger J/A-2345-2012; Langenfelds, Raymond L/B-5381-2012</t>
  </si>
  <si>
    <t>JUL 1</t>
  </si>
  <si>
    <t>10.1029/1999GL900446</t>
  </si>
  <si>
    <t>213TU</t>
  </si>
  <si>
    <t>WOS:000081290000029</t>
  </si>
  <si>
    <t>The upper Cenozoic tephra record in the south polar region: a review</t>
  </si>
  <si>
    <t>tephrochronology; south polar region; ice cores</t>
  </si>
  <si>
    <t>MARIE-BYRD-LAND; ANTARCTIC ICE-SHEET; DEEP-SEA SEDIMENTS; VOLCANIC ASH; CORE; PENINSULA; LAYERS; DEPOSITS; PLIOCENE; CLIMATE</t>
  </si>
  <si>
    <t>Tephrochronology studies in the south polar region are reviewed and evaluated. There have been numerous investigations of tephra layers in ice cores, reflecting the continuing importance of ice cores as a principal source of palaeoenvironmental information. By contrast, tephra in marine sediment cores have been largely neglected. Chemical analyses of glass shards are not uniformly available across the region. In particular, they are currently unavailable for the northern Antarctic Peninsula. Few tephras have been dated directly, although potassic glass and minerals are commonly present and should be readily amenable to isotopic dating. Chemical 'fingerprinting' seems to have a high potential for successfully correlating layers and identifying source areas, but only a few studies have considered trace elements as well as major oxides. The effects of within-ash compositional variations and analytical imprecision limit the general utility of 'fingerprinting'. The tephra record is locally much more complete than is preserved in the source volcanoes themselves. However, the effects of frequent eruptions on local depocentres may swamp other environmentally significant indicators and make the environmental record harder to interpret than in tephra-free successions. Linked studies of tephra and volcanically-derived aerosols in ice in the south polar region could be of critical importance for quantitative calculations of the volcanic contribution to atmospheric fluxes and attempts to assess the possible effects of volcanism on global climate. (C) 1999 Elsevier Science B.V. All rights reserved.</t>
  </si>
  <si>
    <t>British Antarctic Survey, High Cross,Madingley Rd, Cambridge CB3 0ET, England.</t>
  </si>
  <si>
    <t>10.1016/S0921-8181(99)00007-7</t>
  </si>
  <si>
    <t>237NQ</t>
  </si>
  <si>
    <t>WOS:000082663200006</t>
  </si>
  <si>
    <t>Roberts, D; McMinn, A</t>
  </si>
  <si>
    <t>A diatom-based palaeosalinity history of Ace Lake, Vestfold Hills, Antarctica</t>
  </si>
  <si>
    <t>diatom stratigraphy; palaeosalinity; Ace Lake; Vestfold Hills; Antarctica</t>
  </si>
  <si>
    <t>SALINE LAKES; GREAT-PLAINS; ICE; ASSEMBLAGES; SEDIMENT; WATER; EVOLUTION; MEROMIXIS; ISLAND</t>
  </si>
  <si>
    <t>A comprehensive diatom stratigraphy is used to calculate a palaeosalinity history for an Antarctic lake via an established diatom-salinity transfer function for the Vestfold Hills, Antarctica. A sediment core taken from Ace Lake in 1995 shows three distinct changes in diatom assemblage constituents: initial benthic hyposaline - freshwater taxa are replaced by marine planktonic and sea-ice taxa with these taxa in turn replaced by the benthic hypersaline taxa dominant in the lake today. These changes in assemblage composition enable the lakewater salinity of each stage to be determined, and the Holocene evolution of the lake to be refined. Deglaciation of the Vestfold Hills at the beginning of the Holocene exposed Ace Lake basin; following this, fresh lacustrine diatoms were deposited from similar to 11 380 to similar to 8110 corrected C-14 yr BP. Relative sea-level rise after this time led to the progressive marine inundation of the lake and the deposition of marine diatom taxa. Marine taxa were dominant in the sediment for more than 6000 years. Isostatic rebound and stabilization of the sea-level isolated Ace Lake and at similar to 1450 corrected C-14 yr BP saline lacustrine diatoms became the dominant taxa, indicative of the concentration of dissolved salts through evaporation after isolation.</t>
  </si>
  <si>
    <t>Univ Tasmania, Inst Antarctic &amp; So Ocean Studies, Hobart, Tas 7001, Australia</t>
  </si>
  <si>
    <t>McMinn, Andrew/A-9910-2008</t>
  </si>
  <si>
    <t>Roberts, Donna/0000-0001-6701-6662</t>
  </si>
  <si>
    <t>10.1191/095968399671725699</t>
  </si>
  <si>
    <t>217YF</t>
  </si>
  <si>
    <t>WOS:000081526000002</t>
  </si>
  <si>
    <t>Nest site turnover in Common Terns:: possible problems with renest studies</t>
  </si>
  <si>
    <t>IBIS</t>
  </si>
  <si>
    <t>BIRDS; SIZE</t>
  </si>
  <si>
    <t>González-Solís, J (corresponding author), British Antarctic Survey, High Cross,Madingley Rd, Cambridge CB3 OET, England.</t>
  </si>
  <si>
    <t>BRITISH ORNITHOLOGISTS UNION</t>
  </si>
  <si>
    <t>TRING</t>
  </si>
  <si>
    <t>C/O NATURAL HISTORY MUSEUM, SUB-DEPT ORNITHOLOGY, TRING, HERTS, ENGLAND HP23 6AP</t>
  </si>
  <si>
    <t>0019-1019</t>
  </si>
  <si>
    <t>Ibis</t>
  </si>
  <si>
    <t>10.1111/j.1474-919X.1999.tb04421.x</t>
  </si>
  <si>
    <t>215ED</t>
  </si>
  <si>
    <t>WOS:000081368200017</t>
  </si>
  <si>
    <t>Tenuta, A; Alvarenga, RCC</t>
  </si>
  <si>
    <t>Reduction of the bioavailability of fluoride from Antarctic krill by calcium</t>
  </si>
  <si>
    <t>INTERNATIONAL JOURNAL OF FOOD SCIENCES AND NUTRITION</t>
  </si>
  <si>
    <t>MEGANYCTIPHANES-NORVEGICA; EUPHAUSIA-SUPERBA; RAT</t>
  </si>
  <si>
    <t>The bioavailability of fluoride from krill exoskeleton and the effect of additional calcium on the bioavailability of fluoride from krill paste were evaluated using young rats. Fluoride from the exoskeleton showed a high apparent absorption of 80%. Approximately 3.6% of this fluoride was deposited in the femur, and 44% in the rest of the carcass. The presence of 1.5% and 2.5% calcium (CaCO3) in the diet - 1.0 and 2.0% above the minimum recommended content respectively significantly reduced the bioavailability of fluoride from krill paste. The apparent absorption of fluoride from the paste was reduced by 33.8 and 45.8%, deposition in the femur by 48.1 and 58%, and retention in the rest of the carcass by 44.4 and 55.6%, respectively. The need for further studies using lower amounts of fluoride and calcium and other chemical forms of calcium is indicated.</t>
  </si>
  <si>
    <t>Univ Sao Paulo, Fac Pharmaceut Sci, Dept Foods &amp; Expt Nutr, BR-05508900 Sao Paulo, Brazil</t>
  </si>
  <si>
    <t>Universidade de Sao Paulo</t>
  </si>
  <si>
    <t>Tenuta, A (corresponding author), Univ Sao Paulo, Fac Pharmaceut Sci, Dept Foods &amp; Expt Nutr, Av Prof Lineu Prestes 580, BR-05508900 Sao Paulo, Brazil.</t>
  </si>
  <si>
    <t>0963-7486</t>
  </si>
  <si>
    <t>INT J FOOD SCI NUTR</t>
  </si>
  <si>
    <t>Int. J. Food Sci. Nutr.</t>
  </si>
  <si>
    <t>Food Science &amp; Technology; Nutrition &amp; Dietetics</t>
  </si>
  <si>
    <t>221EZ</t>
  </si>
  <si>
    <t>WOS:000081712200009</t>
  </si>
  <si>
    <t>Storey, BC; Rubidge, BS; Cole, DI; De Wit, MJ</t>
  </si>
  <si>
    <t>Gondwana-10: event stratigraphy of Gondwana, Proceedings volume 1</t>
  </si>
  <si>
    <t>JOURNAL OF AFRICAN EARTH SCIENCES</t>
  </si>
  <si>
    <t>British Antarctic Survey, ZA-2050 Wits CB3 0ET, South Africa; Univ Witwatersrand, Dept Palaeontol, ZA-2050 Wits, South Africa; Council Geosci, ZA-7535 Bellville, South Africa; Univ Cape Town, CIGCES, ZA-7700 Rondebosch, South Africa</t>
  </si>
  <si>
    <t>University of Witwatersrand; University of Cape Town</t>
  </si>
  <si>
    <t>Storey, BC (corresponding author), British Antarctic Survey, Madingley Rd, ZA-2050 Wits CB3 0ET, South Africa.</t>
  </si>
  <si>
    <t>Rubidge, Bruce/AAE-7021-2019</t>
  </si>
  <si>
    <t>Rubidge, Bruce/0000-0003-2477-1873</t>
  </si>
  <si>
    <t>1464-343X</t>
  </si>
  <si>
    <t>1879-1956</t>
  </si>
  <si>
    <t>J AFR EARTH SCI</t>
  </si>
  <si>
    <t>J. Afr. Earth Sci.</t>
  </si>
  <si>
    <t>10.1016/S0899-5362(99)00075-5</t>
  </si>
  <si>
    <t>270DA</t>
  </si>
  <si>
    <t>WOS:000084519100001</t>
  </si>
  <si>
    <t>Storey, BC; Curtis, ML; Ferris, JK; Hunter, MA; Livermore, RA</t>
  </si>
  <si>
    <t>Reconstruction and break-out model for the Falkland Islands within Gondwana</t>
  </si>
  <si>
    <t>WESTERN TRANSVERSE RANGES; EARLY TECTONIC EXTENSION; LAFONIA MICROPLATE; AGULHAS BANK; CALIFORNIA; EVOLUTION; ROTATIONS; PALEOGEOGRAPHY; ANTARCTICA; PLATEAU</t>
  </si>
  <si>
    <t>The Falkland Islands are one segment of the Permo-Triassic Gondwanian Fold Belt that was displaced during the fragmentation of Gondwana. Palaeomagnetic, structural and palaeocurrent data, reviewed in this paper, provide convincing evidence that the Falkland Islands rotated from an original position off southeast Africa to their present position off South America during break-up. The rotation mechanism and trajectory are less certain but are an essential component of any plausible Gondwana break-up model. The Falkland islands possess two roughly orthogonal structural grains. D-1 structures form a southerly verging fold belt that correlates with the main folding in the eastern part of the Cape Fold Belt following relocation of the islands. D-1 folds were overprinted by the Early Mesozoic D-2, northeast-southwest trending, Hornby Mountains Anticline producing localised kilometrescale Type I and III fold interference patterns. It is suggested here that the D-2 structures may represent a break-out structure related to a dextral transtensional shear couple that may have existed between East and West Gondwana during the initial stages of break-up. Clockwise rotation of the Falkland Islands Block (FIB) could have taken place along a series of eastwest faults (e.g. the Gastre Fault Zone) in Patagonia as southern South America moved towards the Pacific during Middle Jurassic times. Contemporaneous Pacific-ward motion of southern South America during rotation of the FtB would have avoided collision with the Falkland island Block as it docked. On a geological timescale, the break-out of the FIB and associated movements of other Gondwana fragments were rapid events, which appear to correlate with the major magmatic pulse at ca 183 Ma, related to a mantle plume beneath Africa and Antarctica. If this is correct, then doming above a large mantle plume in the South Atlantic region may have helped formation and rotation of Gondwana microplates, with rotation occurring above a viscously deforming, hotter-than-normal, substratum in a transtensional setting. (C) 1999 Elsevier Science Limted. All rights reserved.</t>
  </si>
  <si>
    <t>Storey, BC (corresponding author), British Antarctic Survey, Madingley Rd, Cambridge CB3 0ET, England.</t>
  </si>
  <si>
    <t>Livermore, Roy/M-1566-2019; Curtis, Mike/HKV-6176-2023</t>
  </si>
  <si>
    <t>0899-5362</t>
  </si>
  <si>
    <t>10.1016/S0899-5362(99)00086-X</t>
  </si>
  <si>
    <t>WOS:000084519100012</t>
  </si>
  <si>
    <t>Ernsting, G; Brandjes, GJ; Block, W; Isaaks, AA</t>
  </si>
  <si>
    <t>Life-history consequences of predation for a subantarctic beetle: evaluating the contribution of direct and indirect effects</t>
  </si>
  <si>
    <t>carabid; colonization; Hydromedion sparsutum; prey density; size at maturity</t>
  </si>
  <si>
    <t>SOUTH-GEORGIA; HYDROMEDION-SPARSUTUM; PHENOTYPIC PLASTICITY; EGG-SIZE; EVOLUTION; MATURITY; DAPHNIA; PREY; REPRODUCTION; POPULATIONS</t>
  </si>
  <si>
    <t>1. Recently, a small predatory beetle, Trechisibus antarcticus (Carabidae), was accidentally introduced onto the island of South Georgia, sub-Antarctic. 2. From the presumed site of introduction the beetle is invading the coastal lowland area, building up high densities locally in the tussock-forming grass Parodiochloa flabellata. 3. In the coastal area the endemic detritivorous/herbivorous beetle Hydromedion sparsutum (Perimylopidae) is common, especially in and beneath the tussocks. 4. The first three, out of six, larval instars of H. sparsutum are easily taken prey by the carabid. 5. In sites colonized by the carabid, total abundance and the ratio between larval and adult numbers of H. sparsutum are far lower, and its adult body size clearly larger, than in comparable sites where the carabid is absent. 6. Two hypotheses are proposed for explaining the increase in adult body size of H. sparsutum: (i) the increase is a direct effect of predation: selection by the predator favours large hatchlings and/or larvae with a high growth rate; and (ii) the increase is an indirect effect of predation: by lowering the density of H. sparsutum, predation has increased its per capita food supply, enabling a higher growth rate and a larger adult body size. 7. A food addition experiment in a carabid-free site showed availability of high quality food to be insufficient for sustaining the initial larval population. 8. In the laboratory, females from the predator-infested sites produced larger eggs and hatchlings than females from the carabid-free sites, but mass specific growth rates of the larvae were not higher. 9. Field and laboratory data give stronger support to the food hypothesis than to the size selectivity hypothesis.</t>
  </si>
  <si>
    <t>Vrije Univ Amsterdam, Dept Ecol &amp; Ecotoxicol, NL-1081 HV Amsterdam, Netherlands; British Antarctic Survey, NERC, Cambridge CB3 0ET, England</t>
  </si>
  <si>
    <t>Vrije Universiteit Amsterdam; UK Research &amp; Innovation (UKRI); Natural Environment Research Council (NERC); NERC British Antarctic Survey</t>
  </si>
  <si>
    <t>Vrije Univ Amsterdam, Dept Ecol &amp; Ecotoxicol, de Boelelaan 1087, NL-1081 HV Amsterdam, Netherlands.</t>
  </si>
  <si>
    <t>ernsting@bio.vu.nl</t>
  </si>
  <si>
    <t>10.1046/j.1365-2656.1999.00322.x</t>
  </si>
  <si>
    <t>221JE</t>
  </si>
  <si>
    <t>WOS:000081723300010</t>
  </si>
  <si>
    <t>Füllekrug, M; Fraser-Smith, AC; Bering, EA; Few, AA</t>
  </si>
  <si>
    <t>On the hourly contribution of global cloud-to-ground lightning activity to the atmospheric electric field in the Antarctic during December 1992</t>
  </si>
  <si>
    <t>CIRCUIT; THERMOMETER; RESONANCES; EARTH</t>
  </si>
  <si>
    <t>ELF magnetic field measurements from 10 to 135 Hz at Arrival Heights, Antarctica, are used as a proxy measure of global cloud-to-ground lightning activity. Simultaneous hourly recordings of the atmospheric electric field on the surface of the Earth at South Pole during December 1992 make possible a detailed comparison between global cloud-to-ground lightning activity and the atmospheric electric field. Although the mean diurnal variation of the ELF magnetic field anti the atmospheric electric field exhibit a remarkable similarity in shape and phase, the hourly departures from their mean diurnal variations are poorly correlated. We quantify the variability of the atmospheric electric field which can be explained by global cloud-to-ground lightning activity through linear regression analysis. To estimate an accuracy of this method, it is applied to simultaneous measurements of the ELF magnetic field at Sondrestromfjord, Greenland, for comparison. The resulting hourly contribution of global cloud-to-ground lightning activity to the atmospheric electric field in the Antarctic during December 1992 is similar to 40 +/- 10%, and the contribution of global cloud-to-ground lightning activity to hourly departures from the mean diurnal variation of the atmospheric electric field is similar to 25 +/- 10%. (C) 1999 Elsevier Science Ltd. All rights reserved.</t>
  </si>
  <si>
    <t>Goethe Univ Frankfurt, Inst Met &amp; Geophy, D-60323 Frankfurt, Germany; Stanford Univ, STAR Lab, Stanford, CA 94305 USA; Univ Houston, Dept Phys, Houston, TX 77204 USA; Rice Univ, Dept Space Phys &amp; Environm Sci, Houston, TX 77005 USA</t>
  </si>
  <si>
    <t>Goethe University Frankfurt; Stanford University; University of Houston System; University of Houston; Rice University</t>
  </si>
  <si>
    <t>Goethe Univ Frankfurt, Inst Met &amp; Geophy, Feldbergstr 47, D-60323 Frankfurt, Germany.</t>
  </si>
  <si>
    <t>fuellekr@geophysik.uni-frankfurt.de</t>
  </si>
  <si>
    <t>1879-1824</t>
  </si>
  <si>
    <t>10.1016/S1364-6826(99)00031-0</t>
  </si>
  <si>
    <t>238ET</t>
  </si>
  <si>
    <t>WOS:000082698500003</t>
  </si>
  <si>
    <t>Parkinson, ML; Smith, PR; Dyson, PL; Morris, RJ</t>
  </si>
  <si>
    <t>Nowcasting convection velocity in the high-latitude ionosphere using statistical models</t>
  </si>
  <si>
    <t>INTERPLANETARY MAGNETIC-FIELD; WIND PLASMA CORRELATIONS; ELECTRIC-FIELDS; RADAR OBSERVATIONS; ALIGNED CURRENTS; DIRECTION; SUPERDARN; NORTHERN; PATTERNS; IMF</t>
  </si>
  <si>
    <t>The Weimer and IZMEM statistical convection models are driven with a time series of interplanetary magnetic field (IMF) measurements made onboard the Wind spacecraft. The model outputs are used to infer the ionospheric convection velocity at Casey, Antarctica (80.8 degrees S geomagnetic latitude), and then compared with measurements of Doppler velocity made using a Digisonde, and measurements of F-region convection implied by a collocated magnetometer. During a single, representative campaign interval, 13-17 February 1996, the Weimer model explained 19% (42%) of the variation in Doppler speed (direction) observed by the Digisonde, and 21% (14%) of the equivalent convection components observed by the magnetometer,This compares with IZMEM which explained 16% (46%) of the variation in Doppler speed (direction) observed by the Digisonde, and 34% (32%) of the equivalent convection components observed by the magnetometer. In general, there was better agreement between convection direction than convection speed. Some of the disagreement was probably due to differences between the IMF measured by Wind located similar to 170 R-E upstream in the solar wind and the IMF actually arriving at the magnetopause. However, the results of this study do show that measurements of ionospheric velocity using different experimental techniques need heavy averaging to identify a common component of velocity controlled by the IMF vector. The present time series approach was also used to estimate 16 +/- 5 min as the time required for the ionospheric convection to reconfigure in response to IMF changes occurring at the magnetopause. (C) 1999 Elsevier Science Ltd. All rights reserved.</t>
  </si>
  <si>
    <t>La Trobe Univ, Dept Phys, Bundoora, Vic 3083, Australia; La Trobe Univ, Dept Elect Engn, Bundoora, Vic 3083, Australia; Australian Antarctic Div, Kingston, Tas 7050, Australia</t>
  </si>
  <si>
    <t>La Trobe University; La Trobe University; Australian Antarctic Division</t>
  </si>
  <si>
    <t>Parkinson, ML (corresponding author), La Trobe Univ, Dept Phys, Bundoora Campus, Bundoora, Vic 3083, Australia.</t>
  </si>
  <si>
    <t>10.1016/S1364-6826(99)00043-7</t>
  </si>
  <si>
    <t>246DZ</t>
  </si>
  <si>
    <t>WOS:000083150300005</t>
  </si>
  <si>
    <t>Sanders, RW; Solomon, S; Kreher, K; Johnston, PV</t>
  </si>
  <si>
    <t>An intercomparison of NO2 and OClO measurements at arrival heights, Antarctica during Austral spring 1996</t>
  </si>
  <si>
    <t>JOURNAL OF ATMOSPHERIC CHEMISTRY</t>
  </si>
  <si>
    <t>stratospheric trace gases; Antarctica; NO2; OClO</t>
  </si>
  <si>
    <t>ABSORPTION CROSS-SECTIONS; STRATOSPHERIC NO2; MCMURDO-STATION; TEMPERATURE-DEPENDENCE; VISIBLE SPECTROSCOPY; NEAR-ULTRAVIOLET; OZONE; CHLORINE; SPECTRUM; O-3</t>
  </si>
  <si>
    <t>For several years NO2 and OClO, two species important to understanding ozone destruction in the Antarctic stratosphere, have been measured at Arrival Heights, Antarctica by two groups: New Zealand's National Institute of Water and Atmospheric Research (NIWA) and the NOAA Aeronomy Laboratory in Boulder, Colorado. Using data independently collected by these two groups during the Austral spring of 1996, it is shown that the two data sets are in extremely close agreement. Besides offering validation of the instrumentation and analysis techniques of both groups, this result provides confidence in the more complete history of these species gained by combining the two data sets.</t>
  </si>
  <si>
    <t>NOAA, ERL, Aeron Lab, Boulder, CO 80303 USA; Natl Inst Water &amp; Atmospher Res, Lauder, Central Otago, New Zealand</t>
  </si>
  <si>
    <t>National Oceanic Atmospheric Admin (NOAA) - USA; National Institute of Water &amp; Atmospheric Research (NIWA) - New Zealand</t>
  </si>
  <si>
    <t>Sanders, RW (corresponding author), NOAA, ERL, Aeron Lab, Boulder, CO 80303 USA.</t>
  </si>
  <si>
    <t>KLUWER ACADEMIC PUBL</t>
  </si>
  <si>
    <t>SPUIBOULEVARD 50, PO BOX 17, 3300 AA DORDRECHT, NETHERLANDS</t>
  </si>
  <si>
    <t>0167-7764</t>
  </si>
  <si>
    <t>J ATMOS CHEM</t>
  </si>
  <si>
    <t>J. Atmos. Chem.</t>
  </si>
  <si>
    <t>10.1023/A:1006185027584</t>
  </si>
  <si>
    <t>Environmental Sciences; Meteorology &amp; Atmospheric Sciences</t>
  </si>
  <si>
    <t>Environmental Sciences &amp; Ecology; Meteorology &amp; Atmospheric Sciences</t>
  </si>
  <si>
    <t>200YA</t>
  </si>
  <si>
    <t>WOS:000080566800004</t>
  </si>
  <si>
    <t>Brix, O; Clements, KD; Wells, RMG</t>
  </si>
  <si>
    <t>Haemoglobin components and oxygen transport in relation to habitat distribution in triplefin fishes [Tripterygiidae]</t>
  </si>
  <si>
    <t>haemoglobin; teleost fish; triplefins; oxygen transport; Bohr effect</t>
  </si>
  <si>
    <t>AMINO-ACID-SEQUENCE; FUNCTIONAL-PROPERTIES; BINDING-PROPERTIES; ANGUILLA-ANGUILLA; EFFECT HEMOGLOBIN; ANTARCTIC FISHES; NEW-ZEALAND; BLOOD; WATER; ACCLIMATION</t>
  </si>
  <si>
    <t>Haemoglobin components were analysed for nine species of New Zealand triplefins and their isoelectric points (pI) ranged from 5.1 to 7.0. The number of well-expressed isohaemoglobins was larger in shallow-water and tidal pool species, ranging from four in Grahamina signata to eight in Grahamina capito, and were relatively cathodal. Two strongly anodal isohaemoglobins were expressed in the mid-depth species Ruanoho decemdigitatus and Ruanoho whero, and one in the deeper water species Karalepis stewarti and Forsterygion malcolmi. The red blood cell oxygen-binding properties were determined at 15 degrees C and 25 degrees C in the pH range 6.7-7.9 for the shallow-water species G. capito, the shallow to mid-depth species Forsterygion varium, and the deep-water species F. malcolmi. Oxygen affinity was highest for G. capito and the magnitude of the Bohr effect lower (Delta log P-50/Delta pH = -0.37 at 25 degrees C, where P-50 is the half-saturation coeffcient) compared to the two Forsterygion species (Delta log P-50/Delta pH = -0.52 to -0.59). Further, the cooperativity factor, n(50), was lower in G. capito thus maintaining oxygen transport over a wide range of environmental oxygen pressures. Oxygen binding was similarly influenced by temperature in both G. capito and F. malcolmi (maximum heal of oxygenation Delta H-max = -27 kJ mol(-1) and -37 kJ mol(-1), respectively). Thus, triplefin fishes living in shallow, thermally unstable habitats possess a greater number of cathodally migrating isohaemoglobins, and their red blood cells have a higher oxygen affinity and reduced cooperativity which is less sensitive to changes in pH than do species occurring in more stable, deeper water habitats. Our analysis of an assemblage of closely related species circumvents some of the difficulties inherent in studies where interpretation of experimental results is confounded by phylogeny.</t>
  </si>
  <si>
    <t>Univ Bergen, Dept Zool, N-5007 Bergen, Norway</t>
  </si>
  <si>
    <t>University of Bergen</t>
  </si>
  <si>
    <t>Wells, RMG (corresponding author), Univ Auckland, Sch Biol Sci, Private Bag 92019, Auckland 1, New Zealand.</t>
  </si>
  <si>
    <t>Clements, Kendall/0000-0001-8512-5977</t>
  </si>
  <si>
    <t>10.1007/s003600050228</t>
  </si>
  <si>
    <t>223GZ</t>
  </si>
  <si>
    <t>WOS:000081834300012</t>
  </si>
  <si>
    <t>Bornmalm, L; Widmark, JGV; Malmgren, BA</t>
  </si>
  <si>
    <t>Changes in circulation and trophic levels in the Pliocene Caribbean Sea: Evidence from benthic foraminifer accumulation rates</t>
  </si>
  <si>
    <t>JOURNAL OF FORAMINIFERAL RESEARCH</t>
  </si>
  <si>
    <t>SEASONALLY DEPOSITED PHYTODETRITUS; BATHYAL NORTHEAST ATLANTIC; DEEP-SEA; EQUATORIAL PACIFIC; MICROHABITAT PREFERENCES; THERMOHALINE CIRCULATION; WEDDELL SEA; OCEAN; PANAMA; ECOLOGY</t>
  </si>
  <si>
    <t>Changes in benthic foraminifer faunas throughout the late Neogene (about 5.8-1.8 Ma) were analyzed in DSDP Hole 502A (Caribbean Sea) to determine whether the development of the Isthmus of Panama and resulting changes in bottom-water circulation affected the benthic foraminifer community. Benthic foraminifer accumulation rates (BFAR) of the 11 most abundant and presumably also ecologically significant species revealed three intervals of distinct faunal developments: Interval 1 (prior to 4.65 Ma) exhibits a fluctuating pattern in the benthic foraminifer fauna with an increase of Epistominella exigua between 5.7 and 5.35 Ma, except at about 5.4 Ma. This variation of E. exigua may indicate a period of increased vertical flux of organic (phytodetritial) matter to the seafloor at the base of the sequence. Also towards the upper part of Interval 1, E. exigua shows periods of higher abundance, which could be related to higher vertical flux of phytodetritus to the seafloor. Interval 2 (4.65 to 3.9 Ma) is marked by a gradual increase of C. wuellerstorfi and Oridorsalis umbonatus, and decrease of Nuttallides umbonifera with periods of higher abundance of E. exigua. This faunal change can be related to alternations of sudden phyto-detritus inputs and increased circulation within the Caribbean Sea that resulted from the progressive emergence of the Panamanian landbridge changing the Caribbean Sea from a broad oceanic seaway into a marginal sea. The restricted surface-water how over the Isthmus of Panama probably enhanced northward transport of warm, high-salinity waters into the high latitudes via the Gulf Stream and thus stimulated the total production of North Atlantic Deep Water (NADW) leading to an increased inflow of Upper North Atlantic Deep Water (UNADW) into the Caribbean Sea. The increased bottom-water activity in the Caribbean may have favored C. wuellerstorfi, which has been found to prefer an elevated suspension feeding position above the sediment surface. Intensified bottom-water circulation would allow more water to pass and thus provide more available food for this particular species. Interval 3 (about 3.9 to 1.8 Ma) began with a striking decrease of C. wuellerstorfi coeval with a rapid increase of N. umbonifera, which became the dominating species. This may have been a response to a declined velocity of the bottom-water currents in the Caribbean, probably caused by less inflow of bottom waters from the North Atlantic. The organic flux into the area may have been similar to Interval 2, but lower bottom-water current velocities may have favored the more oligotrophic species N. umbonifera relative to C. wuellerstorfi. The peak abundance of E. exigua between about 3.55 and 3.45, and at 3.4-3.35 Ma may be a result of strong but interrupted inputs of phyto-detritus into the Colombia Basin. Also in the upper part of the interval particularly between approximately 2.5 and 2.2 Ma the abundance of E. exigua exhibit increased values. At about 3.0 Ma N. umbonifera shows a drastic decrease and coeval recovery of C. wuellerstorfi, O. umbonatus, and Pyrgo murrhina. This faunal change could be attributable to (a) mixing between the base of nutrient-rich Antarctic Intermediate Water (AAIW) and the upper layer of Upper North Atlantic Deep Water (UNADW), and/or (b) nutrient-rich local river outflow (e.g. from the Rio Magdalena) together with, at least periodically, (9) increased bottom-water currents that favored the normally elevated and suspension feeding C. wuellerstorfi. The short term alternation in the benthic foraminifer abundance, i.e. the instant recovery of N. umbonifera in the lower part of the interval, may indicate an amelioration of deep-water conditions, which may have been associated with a slower inflow of bottom water into the Caribbean Sea. Moreover, the increased average benthic delta(13)C value during the upper part of Interval 3 may also be a result of a better bottom-water ventilation in the Colombia Basin linked to the onset of the modern deep-water circulation, which most likely is related to periodically increased inflow of UNADW into the Caribbean Sea.</t>
  </si>
  <si>
    <t>Univ Gothenburg, Ctr Earth Sci, SE-40530 Gothenburg, Sweden</t>
  </si>
  <si>
    <t>University of Gothenburg</t>
  </si>
  <si>
    <t>Bornmalm, L (corresponding author), Univ Gothenburg, Ctr Earth Sci, Box 460, SE-40530 Gothenburg, Sweden.</t>
  </si>
  <si>
    <t>Malmgren, Björn A./JNR-9565-2023; Malmgren, Bjorn A/A-6283-2009</t>
  </si>
  <si>
    <t>CUSHMAN FOUNDATION FORAMINIFERAL RES</t>
  </si>
  <si>
    <t>MUSEUM COMPARATIVE ZOOLOGY, DEPT INVERTEBRATE PALEONTOLOGY 26 OXFORD ST, HARVARD UNIV, CAMBRIDGE, MA 02138 USA</t>
  </si>
  <si>
    <t>0096-1191</t>
  </si>
  <si>
    <t>J FORAMIN RES</t>
  </si>
  <si>
    <t>J. Foraminifer. Res.</t>
  </si>
  <si>
    <t>220EY</t>
  </si>
  <si>
    <t>WOS:000081652600004</t>
  </si>
  <si>
    <t>Chisham, G; Mann, IR</t>
  </si>
  <si>
    <t>A Pc5 ULF wave with large azimuthal wavenumber observed within the morning sector plasmasphere by Sub-Auroral Magnetometer Network</t>
  </si>
  <si>
    <t>SYNCHRONOUS EQUATORIAL ORBIT; FIELD LINE RESONANCES; LOCAL TIME ASYMMETRY; GEOMAGNETIC-PULSATIONS; GIANT PULSATIONS; COMPLEX DEMODULATION; GEOSTATIONARY ORBIT; PG-PULSATION; STARE RADAR; MICROPULSATIONS</t>
  </si>
  <si>
    <t>In this paper we present details of an unusual Pc5 ULF wave with a large azimuthal wavenumber (m) which is observed within the plasmasphere by ground-based magnetometers. In a previous statistical study, 129 Pc5 events were identified at midlatitudes by the U.K. Sub-Auroral Magnetometer Network (SAMNET), but only three displayed large azimuthal wavenumbers (m &gt; 10). Analysis of the variation of wave parameters during one of these events using a novel complex demodulation technique is presented. The technique reveals the temporal variation of wave characteristics, including the azimuthal wavenumber and wave frequency, and allows us to study the azimuthal dispersion characteristics of the wave and estimate the azimuthal phase and group speeds. The method used to estimate the azimuthal wavenumbers resolves the ambiguity resulting from aliasing, which can occur for large-m waves observed at stations more than one azimuthal wavelength apart. The drift-bounce resonance mechanism is discussed as a possible wave excitation mechanism for this event, and resonance with H+ and/or O+ ions at the inner edge of the ring current is presented as a possible excitation scenario.</t>
  </si>
  <si>
    <t>Queen Mary Univ London, Astron Unit, London E1 4NS, England; Univ York, Dept Phys, York YO10 5DD, N Yorkshire, England</t>
  </si>
  <si>
    <t>University of London; Queen Mary University London; University of York - UK</t>
  </si>
  <si>
    <t>gchi@bas.ac.uk; ian@aurora.york.ac.uk</t>
  </si>
  <si>
    <t>A7</t>
  </si>
  <si>
    <t>10.1029/1999JA900147</t>
  </si>
  <si>
    <t>211WW</t>
  </si>
  <si>
    <t>WOS:000081185700025</t>
  </si>
  <si>
    <t>Rash, JPS; Rodger, AS; Pinnock, M</t>
  </si>
  <si>
    <t>HF radar observations of the high-latitude ionospheric convection pattern in the morning sector for northward IMF and motion of the convection reversal boundary</t>
  </si>
  <si>
    <t>INTERPLANETARY MAGNETIC-FIELD; SOLAR-WIND; PLASMA CONVECTION; AURORAL OVAL; Y-COMPONENT; B-Y; MODELS; MAGNETOSPHERE; MAGNETOPAUSE; CONJUGATE</t>
  </si>
  <si>
    <t>Observations of plasma convection in the morning sector (0000 to 0600 magnetic local time (MLT)) during a period of northward IMF (B-z = +5 to +10 nT) on September 11, 1991, made with the conjugate HF radars at Goose Bay and Halley and supplemented by DMSP plasma flow data, are described. There are several interesting features of the data: the period over which large (&gt;500 m/s) plasma flow velocities are maintained while the IMF is northward; the range of latitudes over which the convection is observed; and the short timescale responses to changes in IMF conditions. The period was characterized by several strong (+/-10 nT) reversals of IMF B-y and an absence of substorm activity, as seen in geostationary satellite particle data. The effects of these B-y reversals and the motion of the convection reversal boundary (CRB, the boundary between eastward flow at lower latitudes and westward flow at higher latitudes) are examined. A significant crosscorrelation is found between IMF B-y and the latitude of the CRB. The observed short time delays and other features are consistent with convection driven by lobe cell merging.</t>
  </si>
  <si>
    <t>Univ Natal, Sch Pure &amp; Appl Biol, ZA-4041 Durban, South Africa; British Antarctic Survey, Cambridge CB3 0ET, England</t>
  </si>
  <si>
    <t>University of Kwazulu Natal; UK Research &amp; Innovation (UKRI); Natural Environment Research Council (NERC); NERC British Antarctic Survey</t>
  </si>
  <si>
    <t>Univ Natal, Sch Pure &amp; Appl Biol, ZA-4041 Durban, South Africa.</t>
  </si>
  <si>
    <t>rash@scifs1.und.ac.za; asro@pcmail.nerc-bas.ac.uk; mpi@pcmail.nerc-bas.ac.uk</t>
  </si>
  <si>
    <t>10.1029/1999JA900034</t>
  </si>
  <si>
    <t>WOS:000081185700037</t>
  </si>
  <si>
    <t>Yeoman, TK; Lewis, RV; Milan, SE; Watanabe, M</t>
  </si>
  <si>
    <t>An interhemispheric study of the ground magnetic and ionospheric electric fields during the substorm growth phase and expansion phase onset</t>
  </si>
  <si>
    <t>HIGH-LATITUDE CONVECTION; AURORAL-ZONE; HF-RADAR; SOUTHWARD IMF; MAGNETOSPHERE; PRECIPITATION; PLASMA; CUSP; DMSP; BACKSCATTER</t>
  </si>
  <si>
    <t>HF radar data during equinoctial, small IMF B-y conditions have enabled the substorm growth phase to be studied in both hemispheres. This has revealed highly conjugate behavior during the substorm growth phase. The characteristic equatorward progression of the radar backscatter in both hemispheres is well matched by a calculation of the position of the equatorward boundary of the radar backscatter, based on an estimate of the reconnection rate at the magnetopause and the relationship between the cross polar cap potential and the change in polar cap area. Coincident radar backscatter and DMSP precipitation measurements suggest that there is a close relationship between the location of the radar backscatter and structured nightside precipitation, This nightside relationship appears to be analogous to the close relationship between radar backscatter and the targets provided by precipitation at the cusps on the dayside. The high degree of conjugacy during the growth phase mirrors the high degree of conjugacy known to exist between the substorm electrojets. However, in detail, and during the expansion phase, there are significant non-conjugacies displayed in, e.g., the degree of HF absorption in the two hemispheres. This nonconjugacy appears similar to that recently observed in interhemispheric optical data.</t>
  </si>
  <si>
    <t>Univ Leicester, Dept Phys &amp; Astron, Leicester LE1 7RH, Leics, England; British Antarctic Survey, NERC, Cambridge CB3 0ET, England; Natl Inst Polar Res, Itabashi Ku, Tokyo 1738515, Japan</t>
  </si>
  <si>
    <t>University of Leicester; UK Research &amp; Innovation (UKRI); Natural Environment Research Council (NERC); NERC British Antarctic Survey; Research Organization of Information &amp; Systems (ROIS); National Institute of Polar Research (NIPR) - Japan</t>
  </si>
  <si>
    <t>Univ Leicester, Dept Phys &amp; Astron, Univ Rd, Leicester LE1 7RH, Leics, England.</t>
  </si>
  <si>
    <t>tim.yeoman@ion.le.ac.uk; steve.milan@ion.le.ac.uk; maskaz@nipr.ac.jp</t>
  </si>
  <si>
    <t>Yeoman, Timothy k/L-9105-2014</t>
  </si>
  <si>
    <t>Yeoman, Timothy k/0000-0002-8434-4825; Milan, Steve/0000-0001-5050-9604</t>
  </si>
  <si>
    <t>10.1029/1999JA900164</t>
  </si>
  <si>
    <t>WOS:000081185700038</t>
  </si>
  <si>
    <t>Sengupta, P; Sen, J; Dasgupta, S; Raith, M; Bhui, UK; Ehl, J</t>
  </si>
  <si>
    <t>Ultra-high temperature metamorphism of metapelitic granulites from Kondapalle, Eastern Ghats Belt: Implications for the Indo-Antarctic correlation</t>
  </si>
  <si>
    <t>metapelitic granulites; UHT metamorphism; Eastern Ghats Belt,India; Indo-Antarctic terrane assembly</t>
  </si>
  <si>
    <t>SAPPHIRINE GRANULITES; PHASE-RELATIONS; CENTRAL AUSTRALIA; ORTHO-PYROXENE; ANORTHOSITE COMPLEXES; CONTACT-METAMORPHISM; GARNET-ORTHOPYROXENE; SPINEL GRANULITES; REACTION TEXTURES; CORONA TEXTURES</t>
  </si>
  <si>
    <t>A suite of quartz and corundum-bearing metapelitic granulites, intruded by layered gabbronorite-pyroxenite-anorthosite at Kondapalle. Eastern ghats Belt, preserves a multitude of reaction textures involving oxide and silicate minerals that attest to several prograde and retrograde reactions. in the quartz-bearing associations, the reactions are : (a) biotite + sillimanite + quartz --&gt; garnet + liquid; (b) garnet + sillimanite --&gt; spinel (+ magnetite) + quartz; (c) Fe(2)Tio(4) + O-2 --&gt; ferrian ilmenite + magnetite; (d) reversal of reaction (b); (e) Fe2O3-rich ilmenite + plagioclase + quartz --&gt; Fe2O3-poor ilmenite + garnet + O2. Reactions in the corundum-bearing associations are: (f) spinal + biotite + sillimanite --&gt; garnet + liquid; (g) biotite + sillimanite --&gt; garnet + Ti-rich spinal + corundum + liquid; (h) biotite + sillimanite --&gt; garnet + corundum + liquid; (i) Fe2TiO4 + FeAl2O4 + O-2 --&gt; ferrian ilmenite + Fe3O4 + Al2O3 (in ilmenite); (j) garnet + corundum --&gt; spinal + sillimanite. to examine the paragenetic evolution of the metapelitic granulities, a petrogenetic grid for the KFMASH system at high temperatures and pressures, involving quartz and corundum, was constructed. The sequence of inferred reactions documents an anticlockwise heating cooling path. Reintegrated compositions of spiral (with &gt; 10 mol % Fe2TiO4) and feldspars indicate ultra-high temperature (UHT) of metamorphism (&gt;1000 degrees C), comparable with the liquids temperature of the enclosing magmatic rocks. Crystallization pressures inferred for the magmatic rocks and the pressure constraints imposed by the petrogenetic grid on the metapelite assemblages indicate that the emplacement of the igneous suite and the accompanying UHT metamorphism occurred in the lower crust (&gt;8 kbar). Reported U-Pb cooling ages of monazite and allanite from a late pegmatite suggests the UHT metamorphism to be older that 1600 Ma. Te deduced PT history and the absence of Grenvillian high-grade metamorphism in the study area provide important constraints on the configuration of East gondwana, in particular on the continuation of the Napier Rayner terrane boundary into the Eastern Ghats Belt.</t>
  </si>
  <si>
    <t>Univ Bonn, Mineralog Petrolog Inst, D-53115 Bonn, Germany; Jadavpur Univ, Dept Geol Sci, Calcutta 700032, W Bengal, India; Govt India, Atom Mineral Div, Shillong 793011, Meghalaya, India</t>
  </si>
  <si>
    <t>University of Bonn; Jadavpur University; Atomic Minerals Directorate for Exploration &amp; Research (AMD)</t>
  </si>
  <si>
    <t>Raith, M (corresponding author), Univ Bonn, Mineralog Petrolog Inst, Poppelsdorfer Schloss, D-53115 Bonn, Germany.</t>
  </si>
  <si>
    <t>Bhui, Uttam K./0000-0002-4697-3903</t>
  </si>
  <si>
    <t>10.1093/petrology/40.7.1065</t>
  </si>
  <si>
    <t>211XQ</t>
  </si>
  <si>
    <t>WOS:000081187500001</t>
  </si>
  <si>
    <t>Stephens, JC; Marshall, DP</t>
  </si>
  <si>
    <t>Dynamics of the Mediterranean salinity tongue</t>
  </si>
  <si>
    <t>EASTERN NORTH-ATLANTIC; OCEAN CIRCULATION MODELS; GENERAL-CIRCULATION; IBERIAN PENINSULA; DIFFUSION-MODEL; MEDDY FORMATION; EDDY TRANSFER; SALT TONGUE; OUTFLOW; WATER</t>
  </si>
  <si>
    <t>A reduced-gravity planetary-geostrophic model of the North Atlantic consisting of two active layers overlying a motionless abyss is developed to investigate the effect of the wind field in shaping the dynamics of the Mediterranean salinity tongue. The model is driven by climatological winds and eastern boundary ventilation in a basin of realistic geometry and includes a parameterization of meddles. The upper-layer depth from the model shows a clear similarity to observations, both in terms of the location and intensity of the subtropical gyre and also the position of the outcropping line in the northern basin. Potential vorticity in layer two reproduces the sweep of potential-vorticity contours southwestward from the eastern boundary and extending westward into the interior, and provides the pathways along which Mediterranean Water spreads into the model interior. The authors solve for the steady salinity field in the second layer, including sources of Upper Labrador Sea Water and Antarctic Intermediate Water on the isopycnal surface. The shape and spreading latitude of the model salinity tongues bear a striking resemblance to observations. Both the wind forcing and the occurrence of a mean transport of Mediterranean Water away from the eastern boundary are crucial in obtaining a realistic salinity tongue. The salinity tongues are remarkably stable to variations in the Peclet number: A simple parameterization of meddles in the model is also included. Where meddles are dissipated locally by collisions with topographic seamounts, for example, they may generate large recirculations extending across to the western boundary. The net effect of these recirculations is to shift the salinity tongue equatorward.</t>
  </si>
  <si>
    <t>Univ Reading, Dept Meteorol, Reading RG6 6BB, Berks, England</t>
  </si>
  <si>
    <t>University of Reading</t>
  </si>
  <si>
    <t>Stephens, JC (corresponding author), Univ Reading, Dept Meteorol, POB 243, Reading RG6 6BB, Berks, England.</t>
  </si>
  <si>
    <t>Marshall, David Philip/B-6767-2009</t>
  </si>
  <si>
    <t>Marshall, David Philip/0000-0002-5199-6579</t>
  </si>
  <si>
    <t>10.1175/1520-0485(1999)029&lt;1425:DOTMST&gt;2.0.CO;2</t>
  </si>
  <si>
    <t>221RB</t>
  </si>
  <si>
    <t>WOS:000081739100003</t>
  </si>
  <si>
    <t>Qu, TD; Mitsudera, H; Yamagata, T</t>
  </si>
  <si>
    <t>A climatology of the circulation and water mass distribution near the Philippine coast</t>
  </si>
  <si>
    <t>PACIFIC INTERMEDIATE WATER; WESTERN EQUATORIAL PACIFIC; NORTH PACIFIC; MINDANAO CURRENT; OCEAN; THERMOCLINE; VARIABILITY; BOUNDARY</t>
  </si>
  <si>
    <t>This study provides a climatology of the circulation and water mass distribution by using historical data combined with observations from dozens of recent cruises near the Philippine coast. The most striking results are related to the poleward contraction of the subtropical gyre on denser surfaces, with the bifurcation of the North Equatorial Current moving from about 15 degrees N in the upper thermocline to about 20 degrees N at intermediate depths. Though time variability and the possible errors in the data are rather large, the Halmahera eddy (IIE) is clearly seen in the climatic mean fields, lying at about 3 degrees N, 130 degrees E near the surface and reaching the Mindanao coast on density surfaces around 27.2 sigma(theta). It seems that the previously observed Mindanno Undercurrent is merely a component of the recirculation associated with the HE, North Pacific Tropical Water (NPTW) and Intermediate Water (NPIW) enter the western ocean with their extreme properties centered at 15 degrees and 20 degrees N, respectively, and continue southward as far as the southern tip of Mindanao along the western boundary. The influence of South Pacific sources becomes increasingly important with depth, antarctic Intermediate Water (AAIW) is traced to about 12 degrees N off Mindanao: but, there is little indication of a northward Row of AAIW farther north. Salinity extremes are also used as an indicator of NPTW and NPIW and the primary result is that mixing of potential temperature and salinity are not jointly compensated, thus leading to an increase of density in NPTW and a decrease of density in NPIW in the flowpath from the North Pacific subtropical gpre to the Tropics along the Philippine coast.</t>
  </si>
  <si>
    <t>Japan Marine Sci &amp; Technol Ctr, Yokosuka, Kanagawa, Japan; Univ Tokyo, Dept Earth &amp; Planetary Phys, Tokyo, Japan</t>
  </si>
  <si>
    <t>Japan Agency for Marine-Earth Science &amp; Technology (JAMSTEC); University of Tokyo</t>
  </si>
  <si>
    <t>Univ Hawaii, SOEST, Int Pacific Res Ctr, 2525 Correa Rd, Honolulu, HI 96822 USA.</t>
  </si>
  <si>
    <t>tangdong@soest.hawaii.edu</t>
  </si>
  <si>
    <t>Yamagata, Toshio/A-1807-2009; Mitsudera, Humio/E-3241-2012</t>
  </si>
  <si>
    <t>Mitsudera, Humio/0000-0001-9481-6921</t>
  </si>
  <si>
    <t>10.1175/1520-0485(1999)029&lt;1488:ACOTCA&gt;2.0.CO;2</t>
  </si>
  <si>
    <t>WOS:000081739100007</t>
  </si>
  <si>
    <t>Nath, C; Walczak, R; Yamazaki, Y</t>
  </si>
  <si>
    <t>Events with large ETtot in photoproduction at HERA</t>
  </si>
  <si>
    <t>JOURNAL OF PHYSICS G-NUCLEAR AND PARTICLE PHYSICS</t>
  </si>
  <si>
    <t>3rd UK Phenomenology Workshop on HERA Physics</t>
  </si>
  <si>
    <t>SEP 20-25, 1998</t>
  </si>
  <si>
    <t>ST JOHNS COLL, DURHAM, ENGLAND</t>
  </si>
  <si>
    <t>ST JOHNS COLL</t>
  </si>
  <si>
    <t>DIJET CROSS-SECTIONS; LEADING ORDER QCD; MONTE-CARLO; PHOTON; JETS</t>
  </si>
  <si>
    <t>Hard photoproduction events observed at HERA have a large excesses of transverse energy how with respect to theoretical predictions. For this paper events with total transverse energy greater than 45 GeV were selected. Jet cross sections and the dependence of the event rate on the photon-proton centre of mass energy W were measured. A multi-parton interaction model can describe the jet cross section but probably not the W distribution while a model without multi-parton interactions describes the W dependence well but not the jet cross section. At the moment, there is no model that describes data satisfactorily in the measured kinematic range.</t>
  </si>
  <si>
    <t>Univ Oxford, Dept Phys, Oxford OX1 2JD, England; High Energy Accelerator Res Org, Inst Particle &amp; Nucl Studies, Tanashi, Tokyo, Japan</t>
  </si>
  <si>
    <t>University of Oxford; High Energy Accelerator Research Organization (KEK)</t>
  </si>
  <si>
    <t>Nath, C (corresponding author), British Antarctic Survey, Cambridge CB3 0ET, England.</t>
  </si>
  <si>
    <t>Yamazaki, Yasunori/N-8018-2015</t>
  </si>
  <si>
    <t>Yamazaki, Yuji/0000-0003-3710-6995</t>
  </si>
  <si>
    <t>IOP PUBLISHING LTD</t>
  </si>
  <si>
    <t>BRISTOL</t>
  </si>
  <si>
    <t>DIRAC HOUSE, TEMPLE BACK, BRISTOL BS1 6BE, ENGLAND</t>
  </si>
  <si>
    <t>0954-3899</t>
  </si>
  <si>
    <t>J PHYS G NUCL PARTIC</t>
  </si>
  <si>
    <t>J. Phys. G-Nucl. Part. Phys.</t>
  </si>
  <si>
    <t>10.1088/0954-3899/25/7/323</t>
  </si>
  <si>
    <t>Physics, Nuclear; Physics, Particles &amp; Fields</t>
  </si>
  <si>
    <t>Physics</t>
  </si>
  <si>
    <t>218JA</t>
  </si>
  <si>
    <t>WOS:000081548400023</t>
  </si>
  <si>
    <t>Thompson, GA; Alder, VA; Boltovskoy, D; Brandini, F</t>
  </si>
  <si>
    <t>Abundance and biogeography of tintinnids (Ciliophora) and associated microzooplankton in the Southwestern Atlantic Ocean</t>
  </si>
  <si>
    <t>VERTICAL-DISTRIBUTION PATTERNS; BRAZIL MALVINAS CONFLUENCE; SOUTH-ATLANTIC; SPECIES COMPOSITION; SEDIMENTARY RECORD; NARRAGANSETT BAY; ARGENTINE BASIN; FORAMINIFERA; CURRENTS; ECOLOGY</t>
  </si>
  <si>
    <t>Absolute abundances of foraminifers, polycystine and phaeodarian radiolarians, tintinnids, pteropods and early crustacean larvae and moults were assessed in a collection of 57 vertically stratified (0-100 m) net microplankton samples from 22 stations located between 34 and 58 degrees S (along 51-56 degrees W), covered on 8-16 November 1994. Tintinnids were identified to species and measured in order to estimate their biomass from biovolume to carbon conversions. The distribution of the microzooplanktonic groups assessed was irregular and patchy, both geographically and vertically, and their abundances were characteristic of oceanic low to medium productivity environments. Tintinnid biomass was also generally low (0.05-0.40 mu g C l(-1)). With the exception of the tintinnids, associations between microzooplanktonic numbers and chlorophyll a were generally loose. Eighty-eight tintinnid taxa were recorded, yet only five accounted for 53% of the specimens identified. Multivariate (cluster) analysis of tintinnid specific distribution patterns clearly showed several distinct zones. From north to south, these are: Transition Zone (TZ), with three subzones, TZ north (34 degrees S-38 degrees S), TZ central (39 degrees 44'S-44 degrees S) and TZ south (46 degrees S); Subantarctic Zone (SZ; 48-55 degrees S); Polar Front Zone (55 degrees 30'S), Antarctic Zone (AZ; 58-59 degrees 36'S). Each of these was characterized by distinct tintinnid assemblages, abundance and biomass. With few exceptions, tintinnid cells were fairly evenly distributed throughout the upper 50 m. Taxonomic composition usually changed little with depth. Mean population depths were calculated for a subset of 35 tintinnids; 29 of these dwell preferably above 40 m. The spatial distribution of tintinnid species richness showed a more or less gradual decrease from north to south. Specific diversity and equitability generally increased with depth, and were higher in antarctic waters than the southern transitional and subantarctic ones; this trend is tentatively attributed to higher water column vertical stability south of the Polar Front.</t>
  </si>
  <si>
    <t>Univ Buenos Aires, Fac Ciencias Exactas &amp; Nat, Dept Ciencias Biol, RA-1428 Buenos Aires, DF, Argentina; Inst Antartico Argentino, Buenos Aires, DF, Argentina; Museo Argentino Ciencias Nat Bernardino Rivadavia, Buenos Aires, DF, Argentina; UFPr, Ctr Estudos Mar, BR-83255000 Pontal Do Parana, PR, Brazil</t>
  </si>
  <si>
    <t>University of Buenos Aires; Instituto Antartico Argentino; Museo Argentino de Ciencias Naturales Bernardino Rivadavia (MACN); Universidade Federal do Parana</t>
  </si>
  <si>
    <t>Thompson, GA (corresponding author), Univ Buenos Aires, Fac Ciencias Exactas &amp; Nat, Dept Ciencias Biol, RA-1428 Buenos Aires, DF, Argentina.</t>
  </si>
  <si>
    <t>Brandini, Frederico/C-9402-2012</t>
  </si>
  <si>
    <t>Alder, Viviana A./0000-0002-7375-3279; Boltovskoy, Demetrio/0000-0003-3484-2954; Brandini, Frederico/0000-0002-3177-4274; Thompson, Gustavo/0000-0002-5511-3673</t>
  </si>
  <si>
    <t>10.1093/plankt/21.7.1265</t>
  </si>
  <si>
    <t>222MN</t>
  </si>
  <si>
    <t>WOS:000081789500005</t>
  </si>
  <si>
    <t>Bertoni, R; Callieri, C</t>
  </si>
  <si>
    <t>Effects of UVB radiation on freshwater autotrophic and heterotrophic picoplankton in a subalpine lake</t>
  </si>
  <si>
    <t>DISSOLVED ORGANIC-MATTER; ANTARCTIC MARINE ORGANISMS; DIFFERENT HUMIC CONTENT; ULTRAVIOLET-RADIATION; SOLAR-RADIATION; OZONE DEPLETION; MOUNTAIN LAKE; PHYTOPLANKTON; GROWTH; WATER</t>
  </si>
  <si>
    <t>The effects of UVB radiation on the activity of heterotrophic (HPP) and autotrophic (APP) picoplankton (0.2-2 mu m) and of autotrophic assemblages &gt;2 mu m has been measured and compared. Under natural UVB irradiance in a large, deep, oligotrophic subalpine lake (Lago Maggiore, 45 degrees 55'N) with mean dissolved organic carbon (DOC) concentrations of 1 mg C l(-1), the microorganisms of the two size fractions were not significantly photoinhibited in their autotrophic and heterotrophic activities. The vertical attenuation coefficient (K-d) for irradiance at 305 nm ranged from 1.45 to 1.67 during spring and summer. The mixing layer extended to a greater depth than the layer affected by UVB radiation (z(1%) &lt; z(mix)), thus enabling the microorganisms living there to photoadapt. As the assimilation numbers of APP and nanoplankton were higher at 2 m depth than near the surface, we suspected that the influence of longer wavelength (UVA, photosynthetically active radiation) could be stronger than UVB in affecting the photosynthetic efficiency of natural populations. The artificial increase in UVB irradiance had a higher detrimental effect on HPP due to their smaller size, less protection and indirect effects through autotrophic cell inhibition. Picocyanobacteria were percentually more affected by UVB than nanoplankton during April due to the presence of diatoms, which are more resistant than other algal groups to solar UVB irradiance. Furthermore, picocyanobacteria had lower assimilation numbers with respect to larger phytoplankton in the quartz tubes during stratification.</t>
  </si>
  <si>
    <t>CNR, Ist Italiano Idrobiol, Pallanza, Italy</t>
  </si>
  <si>
    <t>Bertoni, R (corresponding author), CNR, Ist Italiano Idrobiol, Pallanza, Italy.</t>
  </si>
  <si>
    <t>10.1093/plankt/21.7.1373</t>
  </si>
  <si>
    <t>WOS:000081789500010</t>
  </si>
  <si>
    <t>Howe, JA; Pudsey, CJ</t>
  </si>
  <si>
    <t>Antarctic circumpolar deep water: A Quaternary paleoflow record from the northern Scotia Sea, South Atlantic ocean</t>
  </si>
  <si>
    <t>WEDDELL SEA; ICE-CORE; DRAKE PASSAGE; NE ATLANTIC; GRAIN-SIZE; CIRCULATION; CLIMATE; SEDIMENTS; MIDPLEISTOCENE; DEPOSITION</t>
  </si>
  <si>
    <t>In the northern Scotia Sea, the main pathway of Circumpolar Deep Water (CPDW) flows north to pass through a deep gap in the North Scotia Ridge before turning east into the Falkland Trough. A sediment drift has developed on the seabed since the Early-Middle Miocene, coincident with the opening of Drake Passage and the inception of deep-water flow. Seismic and acoustic surveys show that the drift covers an area of 10,500 km(2) and forms a broadly asymmetrical mound up to 800 m thick. There is a zone of sediment thinning along the northwestern margin, the result of accentuated CPDW flow around rough ocean floor topography. Small debris flows originating around the margins of the drift suggest localized instability and high sediment supply. Four cores 3-9 m long have been recovered from the crest and margins of the drift in water depths of 3900-4300 m. Biostratigraphy and chemostratigraphy reveal that the longest core extends down to oxygen isotope stage 10 (approx. 370 ka). The sediments are predominantly fine-grained contourites and diatom-rich hemipelagites, capped by sandy-silty contourites rich in the planktonic foraminifer Neogloboquadrina pachyderma. Grain-size analysis of the fine fraction, finer than 4 phi (63 mu m), combined with radiocarbon (AMS) dating and magnetic susceptibility, provide an indication of relative CPDW strength over the last 18 ka. Shortly after the last glacial maximum (LGM), at approximately 17 ka, silt modes fluctuated from 5.5 phi to up to 6.25 phi; this increased current winnowing is indicative of an unstable CPDW, with stormier glacial benthic conditions producing sporadic, high-energy currents across the drift crest and flanks. At approximately 12,280 ka, an increase in sediment sorting is noted, indicative of a strong flow of CPDW over the drift crest, suggesting an unstable and fluctuating deep-water flow. During deglaciation and into the Holocene, at approximately 10 ka, CPDW flow stabilized, becoming less vigorous across the drift crest and flanks with silt modes from 6 phi to 5.5 phi accompanied by increased sorting of the sediments. The gross average sedimentation rate from the crest of the drift is 11.2 cm/ky compared to 2.3 cm/ky on the southeastern flank. The unsteadiness of CPDW during glacials compared to interglacial periods may be the result of stronger wind forcing and a northward shift in the Polar Front. Older CPDW dow records from the cores suggest variable and cyclic bottom-current flow corresponding to glacial-interglacial episodes. Modern CPDW flow across the crest of the drift averages 11.6 cm s(-1) but with intermittent benthic storm activity resuspending the fines.</t>
  </si>
  <si>
    <t>Howe, JA (corresponding author), Dunstaffnage Marine Res Lab, Scottish Assoc Marine Sci, POB 3, Oban PA34 4AD, Argyll, Scotland.</t>
  </si>
  <si>
    <t>JAHO@dmi.ac.uk</t>
  </si>
  <si>
    <t>10.2110/jsr.69.847</t>
  </si>
  <si>
    <t>214WZ</t>
  </si>
  <si>
    <t>WOS:000081351700004</t>
  </si>
  <si>
    <t>Storey, BC; Leat, PT; Weaver, SD; Pankhurst, RJ; Bradshaw, JD; Kelley, S</t>
  </si>
  <si>
    <t>Mantle plumes and Antarctica-New Zealand rifting: evidence from mid-Cretaceous mafic dykes</t>
  </si>
  <si>
    <t>Antarctica; Gondwana; continental drift; geochemistry; magmatism</t>
  </si>
  <si>
    <t>MARIE-BYRD-LAND; EDWARD-VII-PENINSULA; WEST ANTARCTICA; TRANSANTARCTIC MOUNTAINS; VOLCANIC-ROCKS; VICTORIA-LAND; GEOCHEMISTRY; SYSTEM; EVOLUTION; MAGMATISM</t>
  </si>
  <si>
    <t>Ocean floor magnetic anomalies show that New Zealand was the last continental fragment to separate from Antarctica during Gondwana break-up, drifting from Marie Byrd Land, West Antarctica, about 84 Ma ago. Prior to continental drift, a voluminous suite of mafic dykes (dated by Ar-Ar laser stepped heating at 107 +/- 5 Ma) and anorogenic silicic rocks, including syenites and peralkaline granitoids (95-102 Ma), were emplaced in Marie Byrd Land during a rifting event. The mafic dyke suite includes both high- and low-Ti basalts. Trace element and Sr and Nd isotope compositions of the mafic dykes may be modelled by mixing between tholeiitic OIB (asthenosphere-derived) and alkaline high- to low-Ti alkaline magmas (lithospheric mantle derived). Pb isotopes indicate that the OIB component had a HIMU composition. We suggest that the rift-related magmatism was generated in the vicinity of a mantle plume. The plume helped to control the position of continental separation within the very wide region of continental extension that developed when the Pacific-Phoenix spreading ridge approached the subduction zone. Separation of New Zealand from Antarctica occurred when the Pacific-Phoenix spreading centre propagated into the Antarctic continent. Sea floor spreading in the region of the mantle plume may have caused an outburst of volcanism along the spreading ridge generating an oceanic plateau, now represented by the 10-15 km thick Hikurangi Plateau situated alongside the Chatham Rise, New Zealand. The plateau consists of tholeiitic OIB-MORB basalt, regarded as Cretaceous in age, and similar in composition to the putative tholeiitic end-member in the Marie Byrd Land dykes. The mantle plume is proposed to now underlie the western Ross Sea, centred beneath Mount Erebus, where it was largely responsible for the very voluminous, intraplate, alkaline McMurdo Volcanic Group. A second mantle plume beneath Marie Byrd Land formed the Cenozoic alkaline volcanic province.</t>
  </si>
  <si>
    <t>British Antarctic Survey, Cambridge CB3 0ET, England; Univ Canterbury, Dept Geol Sci, Christchurch 1, New Zealand; Open Univ, Dept Earth Sci, Milton Keynes MK7 6AA, Bucks, England</t>
  </si>
  <si>
    <t>UK Research &amp; Innovation (UKRI); Natural Environment Research Council (NERC); NERC British Antarctic Survey; University of Canterbury; Open University - UK</t>
  </si>
  <si>
    <t>Storey, BC (corresponding author), British Antarctic Survey, High Cross,Madingley Rd, Cambridge CB3 0ET, England.</t>
  </si>
  <si>
    <t>Yakymchuk, Chris/H-1297-2013; Kelley, Simon/AAR-7075-2020</t>
  </si>
  <si>
    <t>10.1144/gsjgs.156.4.0659</t>
  </si>
  <si>
    <t>220MB</t>
  </si>
  <si>
    <t>WOS:000081668800001</t>
  </si>
  <si>
    <t>Pankhurst, RJ; Weaver, SD; Hervé, F; Larrondo, P</t>
  </si>
  <si>
    <t>Mesozoic-Cenozoic evolution of the North Patagonian Batholith in Aysen, southern Chile</t>
  </si>
  <si>
    <t>granites; absolute age; isotopes; petrogenesis; tectonics</t>
  </si>
  <si>
    <t>OFQUI FAULT ZONE; TECTONIC EVOLUTION; ISOTOPIC EVIDENCE; TIME-SCALE; ANDES; ROCKS; AGES; GEOCHRONOLOGY; GENERATION; ANTARCTICA</t>
  </si>
  <si>
    <t>A detailed Rb-Sr geochronological and geochemical study has been carried out on granitoids of the North Patagonian batholith in Aysen. The results for 25 plutonic bodies reveal a complex age pattern. The principal zones defined are, from west to east: Late Cretaceous (a single 76 Ma pluton), Early Cretaceous (c. 135 Ma), Eocene (c. 45 Ma), and Early Miocene (25-15 Ma), reverting to mid-Cretaceous (120-90 Ma) in the Main Cordillera. The igneous suite is typically metaluminous and calc-alkaline, with hornblende-biotite granodiorite and tonalite dominant, although small bodies of Late Miocene/Pliocene (c. 10-5 Ma) peraluminous leucogranite occur sporadically. Tertiary plutonism extends to gabbroic compositions and is concentrated in the vicinity of the dextral strike-slip Liquine-Ofqui fault zone. The highest initial Sr-87/Sr-86 ratios (c. 0.7050) occur in the Early Cretaceous group, with a sharp decrease to 0.7034-0.7045 that persists until a Late Miocene reversal to higher values (0.7040-0.7048). Thane variations are reflected by Nd isotopes, but trends in the epsilon Sr-t v. epsilon Nd-t diagram show that this is not due to contamination from the accretionary complex into which the batholith was emplaced. An origin by melting of mafic crustal underplate and lower crust is suggested for the main magma suite. The discrete episodes of magmatism correlate with significant changes in subduction kinematics.</t>
  </si>
  <si>
    <t>British Antarctic Survey, NERC, Isotope Geosci Lab, Keyworth, Notts, England; Univ Canterbury, Dept Geol Sci, Christchurch, New Zealand; Univ Chile, Dept Geol, Santiago, Chile</t>
  </si>
  <si>
    <t>UK Research &amp; Innovation (UKRI); Natural Environment Research Council (NERC); NERC British Geological Survey; NERC British Antarctic Survey; University of Canterbury; Universidad de Chile</t>
  </si>
  <si>
    <t>Pankhurst, RJ (corresponding author), British Antarctic Survey, NERC, Isotope Geosci Lab, Keyworth, Notts, England.</t>
  </si>
  <si>
    <t>Herve, Francisco/HDO-6628-2022</t>
  </si>
  <si>
    <t>10.1144/gsjgs.156.4.0673</t>
  </si>
  <si>
    <t>WOS:000081668800002</t>
  </si>
  <si>
    <t>Pedley, M; Maniscalco, R</t>
  </si>
  <si>
    <t>Lithofacies and faunal succession (faunal phase analysis) as a tool in unravelling climatic and tectonic signals in marginal basins; Messinian (Miocene), Sicily</t>
  </si>
  <si>
    <t>Meeting on the Unravelling Tectonic and Climatic Signals in Sedimentary Successions</t>
  </si>
  <si>
    <t>JUN 26-27, 1997</t>
  </si>
  <si>
    <t>BURLINGTON HOUSE, BURLINGTON, ENGLAND</t>
  </si>
  <si>
    <t>BURLINGTON HOUSE</t>
  </si>
  <si>
    <t>Messinian; Sicily; faunal phase analysis; tectonics; eustasy</t>
  </si>
  <si>
    <t>SALINITY CRISIS; TRIPOLI FORMATION; LATEST MIOCENE; STABLE-ISOTOPE; STRATIGRAPHY; MOROCCO; MAGNETOSTRATIGRAPHY; AGE</t>
  </si>
  <si>
    <t>Many basins are filled under the influence of tectonics and variable climatically driven processes. Unravelling the relative contributions of these is generally easier in fossiliferous sequences if faunal diversity patterns are considered in conjunction with lithofacies analysis. This approach has been successfully applied to Late Miocene strata of Sicily, where progressive restriction and desiccation within the Sicilian Caltanissetta region occurred under a semi-arid climate during the Messinian Stage. This restriction was partly due to Antarctic cooling which produced Palaeo-Mediterranean sea-level oscillations during the Early Messinian, as a prelude to closure of the Atlantic connections. In addition, regions within this Afro-European plate collision zone were also subjected to syndepositional tectonic deformation associated with progressive perched basin development above foreland (south) verging thrust sheets. The relative impacts of climatic (eustatic) versus tectonic control on sedimentation patterns within these perched basins has been debated at length. However, progress towards resolving this problem by a combined approach involving lithofacies analysis, and faunal phase analysis provides clues for separating the effects of the controlling factors. Faunal phase analysis identifies general faunal associations with minimal emphasis on species diversity. The resulting 'phase' plots for Early Messinian strata appear to be transgression skewed when controlled by eustatic cyclicity, and regression skewed when driven by regional tectonics associated with perched basin tectonics.</t>
  </si>
  <si>
    <t>Univ Hull, Dept Geol Leicester, Hull HU6 7RX, N Humberside, England; Univ Hull, Res Inst Environm Sci &amp; Management, Hull HU6 7RX, N Humberside, England; Univ Catania, Ist Geol &amp; Geofis, I-95129 Catania, Italy</t>
  </si>
  <si>
    <t>University of Hull; University of Hull; University of Catania</t>
  </si>
  <si>
    <t>Pedley, M (corresponding author), Univ Hull, Dept Geol Leicester, Hull HU6 7RX, N Humberside, England.</t>
  </si>
  <si>
    <t>Maniscalco, Rosanna/GRY-5603-2022; Maniscalco, Rosanna/AAJ-1024-2021</t>
  </si>
  <si>
    <t>Maniscalco, Rosanna/0000-0003-1026-044X</t>
  </si>
  <si>
    <t>10.1144/gsjgs.156.4.0855</t>
  </si>
  <si>
    <t>WOS:000081668800018</t>
  </si>
  <si>
    <t>McCafferty, DJ; Boyd, IL; Walker, TR; Taylor, RI</t>
  </si>
  <si>
    <t>Can marine mammals be used to monitor oceanographic conditions?</t>
  </si>
  <si>
    <t>ANTARCTIC FUR SEALS; NORTHERN ELEPHANT SEALS; SOUTH-GEORGIA; DIVING BEHAVIOR; WATER TEMPERATURE; SUMMER 1994; ARCTOCEPHALUS-GAZELLA; FORAGING BEHAVIOR; SEABIRDS; ABUNDANCE</t>
  </si>
  <si>
    <t>The breeding performance of higher predators has often been used to monitor fluctuations in the abundance of important prey stocks in marine ecosystems. The development of electronic data-loggers in recent years has also provided the opportunity of using wide-ranging marine animals to measure physical oceanographic conditions. In this study, time-depth recorders (TDRs) programmed to record temperature were deployed on female Antarctic fur seals (Arctocephalus gazella) at Bird Island, South Georgia (54 degrees 00'S; 38 degrees 02'W) during the breeding seasons 1994 to 1998. Temperature sensors had relatively slow response times, and thermal radiation errors occurred during the day when seals spent a large proportion of their time at the surface. Nevertheless, measurements provided temperature-depth profiles which were typical of the vertical stratification of the ocean. During the early stages of a foraging trip temperature increased, suggesting that fur seals travelled northwards from South Georgia towards the warmer waters of the Polar Front. In addition, higher temperatures were recorded by females that remained at sea for longer, implying that these individuals also travelled further. Mean sea-surface temperature (SST) increased from similar to 1 to 4 degrees C from December to March and agreed with SSTs from ship, buoy and satellite. Future studies on marine mammals which combine satellite tracking with oceanographic measurements are likely to provide valuable information on biophysical aspects of the ocean.</t>
  </si>
  <si>
    <t>McCafferty, DJ (corresponding author), 33 Edderston Rd, Peebles EH45 9DT, Scotland.</t>
  </si>
  <si>
    <t>Walker BSc, MPhil, PhD, Tony R./ABA-4581-2020</t>
  </si>
  <si>
    <t>Walker BSc, MPhil, PhD, Tony R./0000-0001-9008-0697; McCafferty, Dominic/0000-0002-3079-3326</t>
  </si>
  <si>
    <t>10.1007/s002270050555</t>
  </si>
  <si>
    <t>220CM</t>
  </si>
  <si>
    <t>WOS:000081647000016</t>
  </si>
  <si>
    <t>de Baar, HJW; de Jong, JTM; Nolting, RF; Timmermans, KR; van Leeuwe, MA; Bathmann, U; van der Loeff, MR; Sildam, J</t>
  </si>
  <si>
    <t>Low dissolved Fe and the absence of diatom blooms in remote Pacific waters of the Southern Ocean</t>
  </si>
  <si>
    <t>diatom; dissolved Fe; Southern Ocean</t>
  </si>
  <si>
    <t>ANTARCTIC CIRCUMPOLAR CURRENT; NORTHERN NORTH-ATLANTIC; WEDDELL SEA; PHYTOPLANKTON COMMUNITIES; ELEMENTAL COMPOSITION; MARINE-PHYTOPLANKTON; BELLINGSHAUSEN SEA; IRON DISTRIBUTIONS; SURFACE WATERS; INDIAN-OCEAN</t>
  </si>
  <si>
    <t>The remote waters of the Pacific region of the Southern Ocean are the furthest away from any upstream and upwind continental Fe sources. This prime area for expecting Fe limitation of the plankton ecosystem was studied (March-April 1995) along a north-south transect at similar to 89 degrees W. At the end of the austral summer the upper wind-mixed layers were in the order of similar to 100 m deep, thus mixing the algae down into the dimly lit part of the euphotic zone where photosynthesis is severely restricted. The dissolved Fe was found at low concentrations ranging from 0.05 nM near the surface to 0.5 nM in deeper waters. Along the transect (52 degrees S-69 degrees S), the dissolved iron was enhanced in the Polar Front, as well as near the Antarctic continental margin (0.6-1.0 nM). In between, the southern ACC branch was depleted with iron; here the concentrations in surface waters were quite uniform at about 0.21 nM. This is only somewhat lower than the 0.49 nM (October 1992) and 0.31 nM (November 1992) averages in early spring in the southern ACC part of Atlantic 6 degrees W sections [de Baar, H.J.W., de Jong, J.T.M., Bakker, D.C.E.. Loscher, B.M., Veth, C., Bathmann, U., Smetacek, V., 1995. Importance of iron for phytoplankton spring blooms and CO2 drawdown in the Southern Ocean. Nature 373, 412-415; Loscher, B.M., de Jong, J.T.M., de Baar, H.J.W., Veth, C., Dehairs, F., 1997. The distribution of iron in the Antarctic Circumpolar Current. Deep-Sea Research II 44, 143-188.]. First, the lower similar to 0.21 nM in March-April 1995 may partly be due to continuation of the seasonal trend where the phytoplankton growth, albeit modest, was removing Fe from the surface waters. Secondly, the 89 degrees W Pacific stations are further downstream continental or seafloor sources than the Atlantic 6 degrees W section. In the latter case, the ACC water had passed through the Drake Passage and also over the Sandwich Plateau. Indeed for Drake Passage, intermediate Fe concentrations have been reported by others. The generally somewhat lower surface water Fe at the ACC and PF at 89 degrees W is consistent with the distance from sources and the late summer. It also would explain the very low abundance of phytoplankton (Chl a) in the region and the conspicuous absence of plankton blooms. In the subAntarctic waters north of the Polar Front there are no diatoms, let alone diatom blooms, due to low availability of silicate. Thus, it appears the biological productivity is suppressed due to iron deficiency in combination with the severe seasonal effects of wind mixing on the light climate, as well as regional silicate limitation for diatoms. (C) 1999 Elsevier Science B.V. All rights reserved.</t>
  </si>
  <si>
    <t>Netherlands Inst Sea Res, NIOZ, NL-1790 AB Den Burg, Netherlands; Univ Groningen, Dept Marine Biol, Groningen, Netherlands; Alfred Wegener Inst Polar &amp; Marine Res, D-2850 Bremerhaven, Germany</t>
  </si>
  <si>
    <t>Utrecht University; Royal Netherlands Institute for Sea Research (NIOZ); University of Groningen; Helmholtz Association; Alfred Wegener Institute, Helmholtz Centre for Polar &amp; Marine Research</t>
  </si>
  <si>
    <t>Netherlands Inst Sea Res, NIOZ, POB 59, NL-1790 AB Den Burg, Netherlands.</t>
  </si>
  <si>
    <t>debaar@nioz.nl</t>
  </si>
  <si>
    <t>Bathmann, Ulrich/ISV-4351-2023; de Jong, Jeroen/F-3190-2011</t>
  </si>
  <si>
    <t>10.1016/S0304-4203(99)00022-5</t>
  </si>
  <si>
    <t>214FQ</t>
  </si>
  <si>
    <t>WOS:000081318300001</t>
  </si>
  <si>
    <t>Iken, K; Quartino, ML; Wiencke, C</t>
  </si>
  <si>
    <t>Histological identification of macroalgae from stomach contents of the Antarctic fish Notothenia coriiceps using semi-thin sections</t>
  </si>
  <si>
    <t>MARINE ECOLOGY-PUBBLICAZIONI DELLA STAZIONE ZOOLOGICA DI NAPOLI I</t>
  </si>
  <si>
    <t>Antarctica; fish; macroalgae; feeding ecology; histology</t>
  </si>
  <si>
    <t>SOUTH SHETLAND ISLANDS; POTTER COVE</t>
  </si>
  <si>
    <t>A histological method is described allowing the identification of macroalgal fragments from stomach contents of fish. The rhodophytes Porphyra endiviifolium and Neuroglossum ligulatum were determined from the stomach contents of the Antarctic fish Notothenia coriiceps. The results show P. endiviifolium to be a more important part in the diet of this fish than previously expected. On the basis of the depth distribution of the identified algae it is suggested that N. coriiceps can migrate to very shallow waters for feeding.</t>
  </si>
  <si>
    <t>Alfred Wegener Inst Polar &amp; Marine Res, D-27515 Bremerhaven, Germany; Inst Antartico Argentino, RA-1010 Buenos Aires, DF, Argentina</t>
  </si>
  <si>
    <t>Helmholtz Association; Alfred Wegener Institute, Helmholtz Centre for Polar &amp; Marine Research; Instituto Antartico Argentino</t>
  </si>
  <si>
    <t>Iken, K (corresponding author), Univ Alabama, Dept Biol, Birmingham, AL 35294 USA.</t>
  </si>
  <si>
    <t>0173-9565</t>
  </si>
  <si>
    <t>MAR ECOL-P S Z N I</t>
  </si>
  <si>
    <t>Mar. Ecol.-Pubbl. Stn. Zool. Napoli</t>
  </si>
  <si>
    <t>10.1046/j.1439-0485.1999.00060.x</t>
  </si>
  <si>
    <t>217HT</t>
  </si>
  <si>
    <t>WOS:000081494500002</t>
  </si>
  <si>
    <t>Pflugmacher, S; Wiencke, C; Sandermann, H</t>
  </si>
  <si>
    <t>Activity of phase I and phase II detoxication enzymes in Antarctic and Arctic macroalgae</t>
  </si>
  <si>
    <t>MARINE ENVIRONMENTAL RESEARCH</t>
  </si>
  <si>
    <t>marine macroalgae; detoxification enzymes; cytochrome P-450; microsomal and soluble glutathione S-transferase; GST; glucosyltransferase</t>
  </si>
  <si>
    <t>GLUTATHIONE-S-TRANSFERASE; LONG-TERM CULTURE; ORGANIC XENOBIOTICS; METABOLISM; CONJUGATION; SEASONALITY; DAYLENGTHS; CORN</t>
  </si>
  <si>
    <t>Presented data demonstrate the existence of various phase I and phase II detoxication enzymes in nine species of Antarctic and Arctic macroalgae cultivated under laboratory conditions. The different enzyme activities were widely distributed in the tested Chlorophyta, Phaeophyta and Rhodophyta. Concerning the cytochrome P-450 monooxygenase system, it was possible to determine several activities for fatty acid substrates such as lauric acid, palmitic acid and stearic acid and furthermore for 3-chlorobiphenyl, a xenobiotic substrate. The conversion of the 3-chlorobiphenyl to a monohydroxymonochlorobiphenyl was established using gas chromatography-mass spectrometry (GC-MS). Also phase II enzyme activity such as microsomal and soluble glutathione S-transferases and O- and N-glucosyltransferases were detected in these marine algae. These results point to similarities with detoxication in mammalian liver and confirm the concept of the 'green liver' described previously and extend this concept also to marine plants, which may be important as a sink because of their large biomass. (C) 1999 Elsevier Science Ltd. All rights reserved.</t>
  </si>
  <si>
    <t>Inst Freshwater Ecol &amp; Inland Fisheries, D-12587 Berlin, Germany; Alfred Wegener Inst Polar &amp; Marine Res, D-37515 Bremerhaven, Germany; GSF Res Ctr Environm &amp; Hlth GmbH, Inst Biochem Plant Pathol, D-85758 Oberschleissheim, Germany</t>
  </si>
  <si>
    <t>Leibniz Institut fur Gewasserokologie und Binnenfischerei (IGB); Helmholtz Association; Alfred Wegener Institute, Helmholtz Centre for Polar &amp; Marine Research</t>
  </si>
  <si>
    <t>Pflugmacher, S (corresponding author), Inst Freshwater Ecol &amp; Inland Fisheries, Muggelseedamm 310, D-12587 Berlin, Germany.</t>
  </si>
  <si>
    <t>Pflugmacher, Stephan/AHD-0910-2022</t>
  </si>
  <si>
    <t>Pflugmacher, Stephan/0000-0003-1052-2905</t>
  </si>
  <si>
    <t>0141-1136</t>
  </si>
  <si>
    <t>MAR ENVIRON RES</t>
  </si>
  <si>
    <t>Mar. Environ. Res.</t>
  </si>
  <si>
    <t>10.1016/S0141-1136(99)00030-6</t>
  </si>
  <si>
    <t>Environmental Sciences; Marine &amp; Freshwater Biology; Toxicology</t>
  </si>
  <si>
    <t>Environmental Sciences &amp; Ecology; Marine &amp; Freshwater Biology; Toxicology</t>
  </si>
  <si>
    <t>191HZ</t>
  </si>
  <si>
    <t>WOS:000080018200002</t>
  </si>
  <si>
    <t>Asmus, T; Frank, M; Koschmieder, C; Frank, N; Gersonde, R; Kuhn, G; Mangini, A</t>
  </si>
  <si>
    <t>Variations of biogenic particle flux in the southern Atlantic section of the Subantarctic Zone during the late Quaternary:: Evidence from sedimentary 231Paex and 230Thex</t>
  </si>
  <si>
    <t>Th-230; Pa-231; Southern Ocean; biogenic particle flux; North Atlantic Deep Water; advection</t>
  </si>
  <si>
    <t>THORIUM ISOTOPES; POLAR FRONT; OCEAN; PRODUCTIVITY; CIRCULATION; PACIFIC; PB-210; SECTOR; BE-10; PROXY</t>
  </si>
  <si>
    <t>Variations of intensity and composition of biogenic particle flux at the northern boundary of the present Polar Frontal Zone in the Atlantic sector of the Southern Ocean are indicators of major changes of paleoenvironmental conditions on glacial/interglacial time scales during the Late Quaternary. In order to estimate those past changes, sediment accumulation patterns of two piston cores, one from just north and one just south of the present day position of the Subantarctic Front were reconstructed. Using the Th-230(ex) method large contributions of laterally supplied material were quantified and used to correct sediment accumulation rates. During the last glacial focussing of biogenic opal-dominated material exceeded the original contribution from the surface water above by a maximum factor of 8.7. The initial activity ratio of Pa-231(ex)/Th-230(ex) was used as tracer for biogenic particle flux and composition and indicates that during the glacial stages 2 and 4 the area of high opal productivity was situated above the location of the southern core whereas the northern core has not been reached by this northward shift during the last 130 kyr as shown by the pattern of focussing-corrected bulk accumulation rates. If the position of the Antarctic Polar Front has remained at the northern boundary of the high opal productivity area during the last 130 kyr, the results suggest that was located exactly between the two core sites during glacial stages 2 and 4. A two-box modeling approach involving particle flux and boundary scavenging intensity of Pa-231 was applied to estimate the possible range of the Pa-231(ex)/Th-230(ex) ratio recorded in Southern Ocean sediments. Previous estimates on the export of Pa-231 from the Atlantic into the Southern Ocean are corroborated but the model suggests a low sensitivity of the Pa-231(ex)/Th-230(ex) ratio in Southern Ocean sediments to variations of the residence time of North Atlantic Deep Water in the Atlantic Ocean. (C) 1999 Elsevier Science B.V. All rights reserved.</t>
  </si>
  <si>
    <t>Heidelberg Akad Wissensch, D-69120 Heidelberg, Germany; Alfred Wegener Inst Polar &amp; Marine Res, D-27568 Bremerhaven, Germany</t>
  </si>
  <si>
    <t>Asmus, T (corresponding author), Univ Heidelberg, INF 500, D-69120 Heidelberg, Germany.</t>
  </si>
  <si>
    <t>tasmus@ix.urz.uni-heidelberg.de</t>
  </si>
  <si>
    <t>; Frank, Norbert/D-6486-2016</t>
  </si>
  <si>
    <t>Kuhn, Gerhard/0000-0001-6069-7485; Frank, Martin/0000-0002-8606-4421; Frank, Norbert/0000-0002-0416-9546</t>
  </si>
  <si>
    <t>10.1016/S0025-3227(98)00199-6</t>
  </si>
  <si>
    <t>212ZP</t>
  </si>
  <si>
    <t>WOS:000081247800004</t>
  </si>
  <si>
    <t>Carter, L; Wilkin, J</t>
  </si>
  <si>
    <t>Abyssal circulation around New Zealand - a comparison between observations and a global circulation model</t>
  </si>
  <si>
    <t>global circulation model; western boundary current; Antarctic Circumpolar Current; sedimentation; New Zealand</t>
  </si>
  <si>
    <t>WESTERN BOUNDARY CURRENT; ANTARCTIC CIRCUMPOLAR CURRENT; SOUTHWEST PACIFIC; LOUISVILLE RIDGE; BOUNTY CHANNEL; CHATHAM RISE; DEEP-SEA; OCEAN; SEDIMENTATION; VARIABILITY</t>
  </si>
  <si>
    <t>Observations of abyssal currents off eastern New Zealand are compared to results from the Los Alamos National Laboratory (LANL) global ocean circulation model. Physical oceanographic measurements are few along the 6000-km long path of the abyssal flow so they are supplemented by geological data including bottom photographs, nephelometer profiles, sediment analyses, and high resolution seismic profiles. While greatly increasing the spatial coverage of the observations, the geological data have limitations concerning temporal aspects of the circulation, e.g., the resolution of seismic records restricts identification of bottom current action to periods of similar to 12,000 years or more. Despite these limitations, the model compares well with observations for the region south of Chatham Rise (43 degrees S). There, the model shows a highly energetic, topographically steered flow that coincides with zones of seafloor erosion, active bedload transport, and prominent benthic nepheloid layers. In contrast, correlation is less clear to the north of Chatham Rise. Model output and observations agree: on flow directions in regions of marked topography, but in areas of subdued relief, model current directions depart from reality. Such departures are because the model bathymetry has (1) a grid too coarse to resolve small but key current pathways, and (2) step-like contours that artificially guide the flow even though in nature the seabed may have low relief. The model also underestimates current intensity as measured by eddy kinetic energy (EKE) and volume transport. However, these deficiencies can be reduced by improving the model bathymetry and better representating the oceanic processes such as the interaction of Rossby waves with the bathymetry. (C) 1999 Elsevier Science B.V. All rights reserved.</t>
  </si>
  <si>
    <t>Natl Inst Water &amp; Atmospher Res, Wellington, New Zealand; Univ Auckland, Sch Environm &amp; Marine Sci, Auckland, New Zealand</t>
  </si>
  <si>
    <t>National Institute of Water &amp; Atmospheric Research (NIWA) - New Zealand; University of Auckland</t>
  </si>
  <si>
    <t>Carter, L (corresponding author), Natl Inst Water &amp; Atmospher Res, POB 14 901, Wellington, New Zealand.</t>
  </si>
  <si>
    <t>Wilkin, John L/E-5343-2011</t>
  </si>
  <si>
    <t>Wilkin, John/0000-0002-5444-9466</t>
  </si>
  <si>
    <t>10.1016/S0025-3227(98)00205-9</t>
  </si>
  <si>
    <t>WOS:000081247800012</t>
  </si>
  <si>
    <t>Alonso, MK; Pedraza, SN; Schiavini, ACM; Goodall, RNP; Crespo, EA</t>
  </si>
  <si>
    <t>Stomach contents of false killer whales (Pseudorca crassidens) stranded on the coasts of the Strait of Magellan, Tierra del Fuego</t>
  </si>
  <si>
    <t>false killer whale; Pseudorca crassidens; stomach contents; feeding habits; diet; southwestern South Atlantic Ocean; Strait of Magellan; Tierra del Fuego</t>
  </si>
  <si>
    <t>CEPHALOPOD PREY; SOUTHERN AFRICA</t>
  </si>
  <si>
    <t>We examined the stomachs of 25 false killer whales collected from a mass stranding of 181 animals along both coasts of the Strait of Magellan, Chile, in March 1989. The 21 stomachs (nine males and 12 females), with food remains contained 11 prey species (nine cephalopods and two fishes) with a total of 442 individuals. Except for one case, food remains were meager, indicating that the animals had not eaten for some time or through stress had vomited on the beach. Eleven of the 21 animals had mud (often with squid beaks) in the esophagus and first stomach. The prey were identified employing squid beaks, fish otoliths and bones, and their wet weights were estimated using regressions between hard parts and known weights of species. The most important prey were the oceanic and neritic-oceanic squids, Martialia hyadesi and Illex argentinus, followed by the neritic fish, Macruronus magellanicus. Of less importance were the oceanic squid, Todaroes fillipovae, the oceanic and epipelagic octopus, Ocythoe sp, and the oceanic squid, Maroteuthis ingens. The rest of the prey were poorly represented and included four oceanic squids and one neritic fish. The prey species of these animals were subantarctic, with two antarctic species, abundant over the Patagonian shelf and adjacent oceanic waters around Tierra del Fuego.</t>
  </si>
  <si>
    <t>Ctr Nacl Patagon, RA-9120 Puerto Madryn, Chubut, Argentina; Univ Nacl Patagonia, RA-9120 Puerto Madryn, Chubut, Argentina; Ctr Austral Invest Cient, RA-9410 Ushuaia, Tierra Fuego, Argentina</t>
  </si>
  <si>
    <t>Centro Nacional Patagonico (CENPAT)</t>
  </si>
  <si>
    <t>Alonso, MK (corresponding author), Ctr Nacl Patagon, Blvd Brown 3600, RA-9120 Puerto Madryn, Chubut, Argentina.</t>
  </si>
  <si>
    <t>Schiavini, Adrian Carlos Miguel/0000-0001-6621-4827</t>
  </si>
  <si>
    <t>10.1111/j.1748-7692.1999.tb00838.x</t>
  </si>
  <si>
    <t>206EE</t>
  </si>
  <si>
    <t>WOS:000080863700006</t>
  </si>
  <si>
    <t>McCafferty, DJ</t>
  </si>
  <si>
    <t>Premature pupping in Antarctic fur seals (Arctocephalus gazella)</t>
  </si>
  <si>
    <t>SOUTH-GEORGIA; BIRD-ISLAND; HARBOR SEAL; REPRODUCTION; WASHINGTON; MORTALITY; WATERS; DEATH; MASS</t>
  </si>
  <si>
    <t>British Antarctic Survey, Nat Environm Council, Cambridge CB3 0ET, England</t>
  </si>
  <si>
    <t>d.mccafferty@clara.co.uk</t>
  </si>
  <si>
    <t>McCafferty, Dominic/0000-0002-3079-3326</t>
  </si>
  <si>
    <t>1748-7692</t>
  </si>
  <si>
    <t>10.1111/j.1748-7692.1999.tb00853.x</t>
  </si>
  <si>
    <t>WOS:000080863700021</t>
  </si>
  <si>
    <t>Franke, L; Scherer, P; Schultz, L</t>
  </si>
  <si>
    <t>Rare gases in Antarctic meteorites with high-thermoluminescence levels: More than one shower.</t>
  </si>
  <si>
    <t>METEORITICS &amp; PLANETARY SCIENCE</t>
  </si>
  <si>
    <t>Max Planck Inst Chem, D-55020 Mainz, Germany</t>
  </si>
  <si>
    <t>METEORITICAL SOC</t>
  </si>
  <si>
    <t>FAYETTEVILLE</t>
  </si>
  <si>
    <t>DEPT CHEMISTRY/BIOCHEMISTRY, UNIV ARKANSAS, FAYETTEVILLE, AR 72701 USA</t>
  </si>
  <si>
    <t>0026-1114</t>
  </si>
  <si>
    <t>METEORIT PLANET SCI</t>
  </si>
  <si>
    <t>Meteorit. Planet. Sci.</t>
  </si>
  <si>
    <t>A38</t>
  </si>
  <si>
    <t>A39</t>
  </si>
  <si>
    <t>223EA</t>
  </si>
  <si>
    <t>WOS:000081826400069</t>
  </si>
  <si>
    <t>Gounelle, M; Maurette, M; Engrand, C; Brandstätter, F; Kurat, G</t>
  </si>
  <si>
    <t>Mineralogy of the 1998 Astrolabe Antarctic micrometeorites collection.</t>
  </si>
  <si>
    <t>Ctr Spectrometrie Nucl &amp; Spectrometrie Masse, F-91405 Orsay, France; Naturhist Museum, A-1014 Vienna, Austria</t>
  </si>
  <si>
    <t>Universite Paris Saclay</t>
  </si>
  <si>
    <t>A46</t>
  </si>
  <si>
    <t>WOS:000081826400084</t>
  </si>
  <si>
    <t>Nakamura, T; Yada, T; Nakamuta, Y; Takaoka, N; Terada, Y; Nakai, I; Tanaka, M</t>
  </si>
  <si>
    <t>X ray diffraction analysis of individual interplanetary dust particles and antarctic micrometeorites using synchrotron radiation.</t>
  </si>
  <si>
    <t>Kyushu Univ, Fac Sci, Fukuoka 8128581, Japan; Sci Univ Tokyo, Fac Sci, Dept Appl Chem, Tokyo 1620825, Japan; High Energy Accelerator Res Org, Photon Factory, Inst Sci Mat, Tsukuba, Ibaraki 3050801, Japan</t>
  </si>
  <si>
    <t>Kyushu University; Tokyo University of Science; High Energy Accelerator Research Organization (KEK)</t>
  </si>
  <si>
    <t>A86</t>
  </si>
  <si>
    <t>WOS:000081826400160</t>
  </si>
  <si>
    <t>Yakimov, MM; Giuliano, L; Bruni, V; Scarfì, S; Golyshin, PN</t>
  </si>
  <si>
    <t>Characterization of Antarctic hydrocarbon-degrading bacteria capable of producing bioemulsifiers</t>
  </si>
  <si>
    <t>antarctic psychrotrophic bacteria; bioemulsifier; trehalose lipid</t>
  </si>
  <si>
    <t>MARINE BACTERIUM; HALOTOLERANT</t>
  </si>
  <si>
    <t>During screening for biosurfactant-producing, n-alkane-degrading marine bacteria, two heterotrophic bacterial strains were isolated from enriched mixed cultures, obtained from Terra Nova Bay (Ross sea, Antarctica) by using aliphatic and artomatic hydrocarbons as the principal carbon source. These gram-positive, aerobic, cocci-shaped bacteria use a various number of organic compounds, including aliphatic hydrocarbons, volatile fatty acids, and biphenyl. During cultivation on n-alkanes as sole source of carbon and energy, all strains produced both an extracellular and cell-bound surface-active mixture of trehalose lipids which reduced the surface tension of water from 72 mN/m to 32 mN/m. This class of glycolipids was found to be produced only by marine rhodococci. The 16S rRNA gene sequence analysis showed that both strains are members of the G+C rich gram-positive group of the phylum Proteobacteria and was found to be almost identical to that of Rhodococcus fascians DSM 20669. The potential of these strains for in situ bioremediation of contaminated cold marine environment is discussed in the present study.</t>
  </si>
  <si>
    <t>GBF Natl Res Ctr Biotechnol, Dept Microbiol, D-38124 Braunschweig, Germany</t>
  </si>
  <si>
    <t>Helmholtz Association; Helmholtz-Center for Infection Research</t>
  </si>
  <si>
    <t>Yakimov, MM (corresponding author), GBF Natl Res Ctr Biotechnol, Dept Microbiol, Mascheroder Weg 1, D-38124 Braunschweig, Germany.</t>
  </si>
  <si>
    <t>Giuliano, Laura/P-2204-2019; Yakimov, Michail/H-1829-2016</t>
  </si>
  <si>
    <t>Yakimov, Michail/0000-0003-1418-363X; Golyshin, Peter/0000-0002-5433-0350</t>
  </si>
  <si>
    <t>216MF</t>
  </si>
  <si>
    <t>WOS:000081445900012</t>
  </si>
  <si>
    <t>Bargelloni, L; Scudiero, R; Parisi, E; Carginale, V; Capasso, C; Patarnello, T</t>
  </si>
  <si>
    <t>Metallothioneins in Antarctic fish: Evidence for independent duplication and gene conversion</t>
  </si>
  <si>
    <t>MOLECULAR BIOLOGY AND EVOLUTION</t>
  </si>
  <si>
    <t>metallothioneins; evolution; gene conversion; Antarctic fish</t>
  </si>
  <si>
    <t>MULTIPLE SEQUENCE ALIGNMENT; ANTIFREEZE GLYCOPEPTIDES; MESSENGER-RNA; EVOLUTION; PHYLOGENIES; EXPRESSION; INDUCTION; ISOFORMS; CLONING; MATRIX</t>
  </si>
  <si>
    <t>In the present paper, we examine eight species of Antarctic fish belonging to the suborder Notothenioidei, using reverse-transcriptase polymerase chain reaction, to investigate the presence of mRNAs encoding metallothionein (MT) isoforms. A total of 168 bp from the coding region and the complete (133-165 bp) 3' untranslated region (UTR) was obtained for all species (for three of them, we also sequenced the full-length cDNA, including the 5' UTR). Phylogenetic analyses carried out on the MT-coding region suggest monophyly for Antarctic fish MTs with respect to other teleost MT genes. Analyses also revealed that notothenioid MTs can be divided into at least two groups of paralogy, MT-1 and MT-2. These results indicate that notothenioid MT isoforms arose from at least one gene duplication event occurring in the ancestral lineage of the Notothenioidei. This duplication occurred independent of the one which gave origin to two metallothionein isoforms in the rainbow trout. In addition, an instance of gene conversion was observed between MT-1 and MT-2 genes in Norothenia coriiceps. Analyses of the 5' UTR, combined with quantitative assay of differential expression of MT-I and MT-2, indicate that only the 3' UTR underwent a gene conversion event in the mentioned species. These findings, together with the observation of a differential pattern of expression for the two MT isoforms, disclose an unexpected complexity in the evolution and function of notothenioid MTs; as in most teleost species examined (apart from the rainbow trout), a single MT form is present.</t>
  </si>
  <si>
    <t>Univ Padua, Dept Biol, I-35131 Padua, Italy; Univ Federico 2, Dipartimento Biol Evolut &amp; Comparata, Naples, Italy; CNR, Ist Biochim Prot &amp; Enzimol, Naples, Italy</t>
  </si>
  <si>
    <t>University of Padua; University of Naples Federico II; Consiglio Nazionale delle Ricerche (CNR); Istituto di Biochimica delle Proteine (IBP-CNR)</t>
  </si>
  <si>
    <t>Univ Padua, Dept Biol, Via Ugo Bassi 58 B, I-35131 Padua, Italy.</t>
  </si>
  <si>
    <t>patarnel@bio.unipd.it</t>
  </si>
  <si>
    <t>Scudiero, Rosaria/AAI-2119-2020; CAPASSO, CLEMENTE/P-3522-2016; Carginale, Vincenzo/N-2531-2014</t>
  </si>
  <si>
    <t>CAPASSO, CLEMENTE/0000-0003-3314-2411; Scudiero, Rosaria/0000-0002-8186-9722; Carginale, Vincenzo/0000-0002-1842-494X; PATARNELLO, Tomaso/0000-0003-1794-5791</t>
  </si>
  <si>
    <t>0737-4038</t>
  </si>
  <si>
    <t>1537-1719</t>
  </si>
  <si>
    <t>MOL BIOL EVOL</t>
  </si>
  <si>
    <t>Mol. Biol. Evol.</t>
  </si>
  <si>
    <t>10.1093/oxfordjournals.molbev.a026178</t>
  </si>
  <si>
    <t>Biochemistry &amp; Molecular Biology; Evolutionary Biology; Genetics &amp; Heredity</t>
  </si>
  <si>
    <t>214VD</t>
  </si>
  <si>
    <t>WOS:000081347500001</t>
  </si>
  <si>
    <t>Barker, PF; Barrett, PJ; Cooper, AK; Huybrechts, P</t>
  </si>
  <si>
    <t>Antarctic glacial history from numerical models and continental margin sediments</t>
  </si>
  <si>
    <t>Antarctic ice sheet; numerical models; glacial sediments; continental margin; stable isotopes</t>
  </si>
  <si>
    <t>ICE-SHEET; SEA-LEVEL; TRANSANTARCTIC MOUNTAINS; MIDDLE MIOCENE; STABLE-ISOTOPE; OCEAN MODEL; LONG-TERM; RECORD; CIRCULATION; TRANSITION</t>
  </si>
  <si>
    <t>The climate record of glacially transported sediments in prograded wedges around the Antarctic outer continental shelf, and their derivatives in continental rise drifts, may be combined to produce an Antarctic ice sheet history, using numerical models of ice sheet response to temperature and sea-level change. Examination of published models suggests several preliminary conclusions about ice sheet history. The ice sheet's present high sensitivity to sea-level change at short (orbital) periods was developed gradually as its size increased, replacing a declining sensitivity to temperature. Models suggest that the ice sheet grew abruptly to 40% (or possibly more) of its present size at the Eocene-Oligocene boundary, mainly as a result of its own temperature sensitivity. A large but more gradual middle Miocene change was externally driven, probably by development of the Antarctic Circumpolar Current (ACC) and Polar Front, provided that a few million years' delay can be explained. The Oligocene ice sheet varied considerably in size and areal extent, but the late Miocene ice sheet was more stable, though significantly warmer than today's. This difference probably relates to the confining effect of the Antarctic continental margin. Present-day numerical models of ice sheet development are sufficient to guide current sampling plans, but sea-ice formation, polar wander, basal topography and ice streaming can be identified as factors meriting additional modelling effort in the future. (C) 1999 Elsevier Science B.V. All rights reserved.</t>
  </si>
  <si>
    <t>British Antarctic Survey, Cambridge CB3 0ET, England; Victoria Univ Wellington, Sch Earth Sci, Wellington, New Zealand; US Geol Survey, Menlo Pk, CA 94025 USA; Free Univ Brussels, Inst Geog, B-1050 Brussels, Belgium</t>
  </si>
  <si>
    <t>UK Research &amp; Innovation (UKRI); Natural Environment Research Council (NERC); NERC British Antarctic Survey; Victoria University Wellington; United States Department of the Interior; United States Geological Survey; Universite Libre de Bruxelles</t>
  </si>
  <si>
    <t>p.barker@bas.ac.uk</t>
  </si>
  <si>
    <t>10.1016/S0031-0182(98)00224-7</t>
  </si>
  <si>
    <t>210WB</t>
  </si>
  <si>
    <t>WOS:000081126700005</t>
  </si>
  <si>
    <t>Claridge, GGC; Campbell, IB; Balks, MR</t>
  </si>
  <si>
    <t>Movement of salts in Antarctic soils: Experiments using lithium chloride</t>
  </si>
  <si>
    <t>PERMAFROST AND PERIGLACIAL PROCESSES</t>
  </si>
  <si>
    <t>Antarctica; Gelisols; lithium chloride; soil contamination; salt migration</t>
  </si>
  <si>
    <t>MCMURDO SOUND REGION</t>
  </si>
  <si>
    <t>In order to investigate the fate of contaminants accidentally spilt on Antarctic soils, known amounts of lithium chloride were added to soil plots beside Lake Vanda, in the Wright Valley, and dose to Scott Base, on Ross Island. The soils were sampled over a three-year period to trace the movement of lithium. On dry sites most of the added lithium remained in the soil where it had been applied, although trace amounts had moved up to 3 m laterally. On wet sites, where moisture was available from melting snow, much greater amounts of lithium had moved laterally and could be detected up to 5 m away. Thus in dry sites, typical of most of the ice-free areas of Antarctica, accidental contaminants will only move slowly over a short distance from the spill site, whereas on wet sites, the contaminants will eventually move more rapidly and be leached out to the lowest point in the drainage system. Copyright (C) 1999 John Wiley &amp; Sons, Ltd.</t>
  </si>
  <si>
    <t>Land &amp; Soil Consultancy Serv, Stoke, Nelson, New Zealand; Univ Waikato, Dept Earth Sci, Hamilton, New Zealand</t>
  </si>
  <si>
    <t>University of Waikato</t>
  </si>
  <si>
    <t>Claridge, GGC (corresponding author), Land &amp; Soil Consultancy Serv, 23 Viewmt, Stoke, Nelson, New Zealand.</t>
  </si>
  <si>
    <t>1045-6740</t>
  </si>
  <si>
    <t>PERMAFROST PERIGLAC</t>
  </si>
  <si>
    <t>Permafrost Periglacial Process.</t>
  </si>
  <si>
    <t>JUL-SEP</t>
  </si>
  <si>
    <t>10.1002/(SICI)1099-1530(199907/09)10:3&lt;223::AID-PPP327&gt;3.0.CO;2-R</t>
  </si>
  <si>
    <t>Geography, Physical; Geology</t>
  </si>
  <si>
    <t>262BJ</t>
  </si>
  <si>
    <t>WOS:000084045600003</t>
  </si>
  <si>
    <t>Spaulding, SA; Kociolek, JP; Wong, D</t>
  </si>
  <si>
    <t>A taxonomic and systematic revision of the genus Muelleria (Bacillariophyta)</t>
  </si>
  <si>
    <t>PHYCOLOGIA</t>
  </si>
  <si>
    <t>DIATOM ASSEMBLAGES; ANTARCTICA; GOMPHONEIS; SEDIMENTS; HISTORY</t>
  </si>
  <si>
    <t>The genus Muelleria (Frenguelli) Frenguelli is considered in taxonomic, systematic, and biogeographic contexts. Muelleria is a small genus composed of 15 known species. In the present report, four species are newly described (M. algida S.A. Spaulding et Kociolek sp. nov., M. luculenta S.A. Spaulding et Kociolek sp, nov., M. variolata S.A. Spaulding et Kociolek sp. nov., and M. varipunctata S.A. Spaulding et Kociolek sp. nov.) and illustrated in light microscopy and scanning electron microscopy. In addition, one new combination is made [M. holmenii (Foged) S.A. Spaulding et Keciolek comb, nov.] and three lectotypes are designated [M. linearis (O. Muller) Frenguelli, M. gibbula (Cleve) S.A. Spaulding et Stoermer, M. patagonica (O. Muller) Frenguelli]. The genus Muelleria has an unusual geographic distribution. Unlike other diatom genera, most of the species [except M. terrestris (Petersen) S.A. Spaulding et Stoermer and the cosmopolitan M. gibbula] are restricted to high latitudes of either the southern or northern hemisphere. The taxa are narrowly endemic, with species restricted to isolated habitats such as oceanic islands (Iceland, Kerguelen Island, and South Shetland Islands) and arid desert lakes (South Victorialand region of Antarctica and southern Argentina). A cladistic analysis is performed based on morphological characters for 11 Muelleria species and four outgroup taxa. The results of this analysis indicate that Muelleria is a monophyletic group, lending support to the resurrection of the genus and to the hypothesis that lineages, not just individual species, share restricted distributions. Among southern hemisphere species, one lineage of Muelleria is primarily South American and the second is primarily Antarctic.</t>
  </si>
  <si>
    <t>Calif Acad Sci, Dept Invertebrate Zool &amp; Geol, Diatom Collect, San Francisco, CA 94118 USA</t>
  </si>
  <si>
    <t>California Academy of Sciences</t>
  </si>
  <si>
    <t>Spaulding, SA (corresponding author), Calif Acad Sci, Dept Invertebrate Zool &amp; Geol, Diatom Collect, Golden Gate Pk, San Francisco, CA 94118 USA.</t>
  </si>
  <si>
    <t>Spaulding, Sarah Ann/AEZ-7757-2022</t>
  </si>
  <si>
    <t>Spaulding, Sarah Ann/0000-0002-9787-7743</t>
  </si>
  <si>
    <t>INT PHYCOLOGICAL SOC</t>
  </si>
  <si>
    <t>NEW BUSINESS OFFICE, PO BOX 1897, LAWRENCE, KS 66044-8897 USA</t>
  </si>
  <si>
    <t>0031-8884</t>
  </si>
  <si>
    <t>Phycologia</t>
  </si>
  <si>
    <t>10.2216/i0031-8884-38-4-314.1</t>
  </si>
  <si>
    <t>241YB</t>
  </si>
  <si>
    <t>WOS:000082910500008</t>
  </si>
  <si>
    <t>Xiong, FS; Ruhland, CT; Day, TA</t>
  </si>
  <si>
    <t>Photosynthetic temperature response of the Antarctic vascular plants Colobanthus quitensis and Deschampsia antarctica</t>
  </si>
  <si>
    <t>PHYSIOLOGIA PLANTARUM</t>
  </si>
  <si>
    <t>DIVERSE ALTITUDINAL RANGES; CARBON-DIOXIDE EXCHANGE; LEAF DARK RESPIRATION; CHLOROPHYLL FLUORESCENCE; MAIZE LEAVES; ELECTRON-TRANSPORT; GROWTH TEMPERATURE; QUANTUM YIELD; GAS-EXCHANGE; LIGHT</t>
  </si>
  <si>
    <t>The photosynthetic temperature response of the Antarctic vascular plants Colobanthus quitensis and Deschampsia antarctica was examined by measuring whole-canopy CO2 gas exchange and chlorophyll (Chl) a fluorescence of plants growing near Palmer Station along the Antarctic Peninsula. Both species had negligible midday net photosynthetic rates (P-n)on warm, usually sunny, days (canopy air temperature [T-c] &gt; 20 degrees C), but had relatively high P-n on cool days (T-c &lt; 10 degrees C), Laboratory measurements of light and temperature responses of P-n showed that high temperature, not visible irradiance, was responsible for depressions in P-n on warm sunny days. The optimal leaf temperatures (T-1) for P-n in C. quitensis and D. antarctica were 14 and 10 degrees C, respectively. Both species had substantial positive P-n at 0 degrees C T-1, which were 28 (C. quitensis) and 32% (D. antarctica) of their maximal P-n, and we estimate that their low-temperature compensation points occurred at 2 degrees C T-1 (C. quitensis) and -3 degrees C (D. antarctica). Because of the strong warming trend along the peninsula over recent decades and predictions that this will continue, we were particularly interested in the mechanisms responsible for their negligible rates of P-n on warm days and their unusually low high-temperature compensation points (i.e,, 26 degrees C in C. quitensis and 22 degrees C in D. antarctica). Low P-n at supraoptimal temperature (25 degrees C) appeared to be largely due to high rates of temperature-enhanced respiration. However, there was also evidence for direct impairment of the photosynthetic apparatus at supraoptimal temperature, based on Chl fluorescence and P-n/intercellular CO2 concentration (c(i)) response curve analyses. The breakpoint or critical temperature (T-cr) of minimal fluorescence (F-o) was approximate to 42 degrees C in both species, which was well above the temperatures where reductions in P-n were evident, indicating that thylakoid membranes were structurally intact at supraoptimal temperatures for P-n. The optimal T-1 for photochemical quenching (q(p)) and the quantum field of photosystem II (PSII) electron transfer (Phi(PSII)) were 9 and 7 degrees C in C. quitensis and D. antarctica, respectively. Supraoptimal temperatures resulted in lower q(p) and greater non-photochemical quenching (q(NP)), but had little effect on F-o, maximal fluorescence (F-m) or the ratio of variable to maximal fluorescence (F-v/F-m) in both species. In addition, carboxylation efficiencies or initial slopes of their P-n/c(i) response were lower at supraoptimal temperatures, suggesting reduced activity of ribulose-1,5'-bisphosphate carboxylase/osygenase (Rubisco). Although continued warming along the peninsula will increase the frequency of supraoptimal temperatures, T-c at our field site averaged 1.3 degrees C and was below the temperature optima for P-n in these species for the majority of diurnal periods (86%) during the growing season, suggesting that continued, warming will usually improve their rates of P-n.</t>
  </si>
  <si>
    <t>Arizona State Univ, Dept Plant Biol, Tempe, AZ 85287 USA; Arizona State Univ, Photosynth Ctr, Tempe, AZ 85287 USA</t>
  </si>
  <si>
    <t>Arizona State University; Arizona State University-Tempe; Arizona State University; Arizona State University-Tempe</t>
  </si>
  <si>
    <t>Arizona State Univ, Dept Plant Biol, Life Sci E Wing,Room 218,Box 871601, Tempe, AZ 85287 USA.</t>
  </si>
  <si>
    <t>tadday@asu.edu</t>
  </si>
  <si>
    <t>Day, Thomas/B-1462-2008</t>
  </si>
  <si>
    <t>Day, Thomas/0000-0002-1582-4585</t>
  </si>
  <si>
    <t>0031-9317</t>
  </si>
  <si>
    <t>1399-3054</t>
  </si>
  <si>
    <t>PHYSIOL PLANTARUM</t>
  </si>
  <si>
    <t>Physiol. Plant.</t>
  </si>
  <si>
    <t>10.1034/j.1399-3054.1999.106304.x</t>
  </si>
  <si>
    <t>Plant Sciences</t>
  </si>
  <si>
    <t>240ED</t>
  </si>
  <si>
    <t>WOS:000082812200004</t>
  </si>
  <si>
    <t>Convey, P; Greenslade, P; Arnold, RJ; Block, W</t>
  </si>
  <si>
    <t>Collembola of sub-Antarctic South Georgia</t>
  </si>
  <si>
    <t>ISLANDS</t>
  </si>
  <si>
    <t>Qualitative samples of Collembola were obtained from a range of substrates near Husvik, Stromness Bay, South Georgia, between January anti March 1996. Collections made at Hope Point near Grytviken (Cumberland East Bay) in 1980/1982 and 1997 were also examined. Fifteen species of Collembola were recorded around Husvik; most were widely distributed. Two of these, Friesia sp. nov, and Cryptopygus badasa, represent additions to the previously recognised fauna of 17 species. A new record of an introduced species, Hypogastrura purpurescens, was identified in collections from Hope Point in 1980/1982, bringing the total South Georgian fauna to 20 species. A key to South Georgian Collembola is included. H. purpurescens and the congeneric Hypogastrura viatica, both cosmopolitan invasive species, have also been recognised on other sub-Antarctic islands and have displaced resident species from some habitats. Their presence on South Georgia, and the dominance of H. viatica in some habitats, highlight the importance of strict quarantine measures to avoid the introduction of further alien invertebrates.</t>
  </si>
  <si>
    <t>British Antarctic Survey, NERC, Cambridge CB3 0ET, England; CSIRO, Div Entomol, Canberra, ACT 2601, Australia</t>
  </si>
  <si>
    <t>UK Research &amp; Innovation (UKRI); Natural Environment Research Council (NERC); NERC British Antarctic Survey; Commonwealth Scientific &amp; Industrial Research Organisation (CSIRO)</t>
  </si>
  <si>
    <t>Convey, P (corresponding author), British Antarctic Survey, NERC, High Cross,Madingley Rd, Cambridge CB3 0ET, England.</t>
  </si>
  <si>
    <t>Convey, Peter/AAV-5728-2020</t>
  </si>
  <si>
    <t>Convey, Peter/0000-0001-8497-9903</t>
  </si>
  <si>
    <t>10.1007/s003000050383</t>
  </si>
  <si>
    <t>213YZ</t>
  </si>
  <si>
    <t>WOS:000081302000001</t>
  </si>
  <si>
    <t>Romano, P; Feletti, M; Mariottini, GL; Carli, A</t>
  </si>
  <si>
    <t>Ecological and nutritional implications of the mandibular structure in the Antarctic calanoid copepod Metridia gerlachei Giesbrecht, 1902:: an ultrastructural study</t>
  </si>
  <si>
    <t>MARGINAL ICE-ZONE; MIDWATER FOOD WEB; VIBRIO-CHOLERAE; WEDDELL-SEA; NORTHWEST; PENINSULA; WATERS</t>
  </si>
  <si>
    <t>In Antarctic sea waters the composition and structure of living communities and the morphology of species are strongly affected by low temperatures; furthermore, the environmental conditions and the adaptive strategies promoted evolution efforts and development of endemisms. Scanning electron microscopy can greatly contribute to the knowledge of structures, differentiating high-latitude organisms from similar species inhabiting other marine environments. This work reports some ultrastructural details of the mandibles of Metridia gerlachei (Copepoda, Calanoida) adult females sampled during the Italian Antarctic Campaign 1987/1988 in order to verify the known descriptions and to emphasize some characters related to feeding habits. The observation of mandibles by light and scanning electron microscopy allowed us to verify that the morphological characters are connected to behaviour, food uptake and diet composition, and confirmed the omnivory of the species. The ultrastructural observations reported here have improved our knowledge about the role of M. gerlachei in the Antarctic food web.</t>
  </si>
  <si>
    <t>Univ Genoa, Ist Sci Ambientali Marine, I-16132 Genoa, Italy; Univ Genoa, Ist Anat Umana Normale, I-16132 Genoa, Italy</t>
  </si>
  <si>
    <t>Carli, A (corresponding author), Univ Genoa, Ist Sci Ambientali Marine, Viale Benedetto XV 5, I-16132 Genoa, Italy.</t>
  </si>
  <si>
    <t>Mariottini, Gian Luigi/A-9336-2008</t>
  </si>
  <si>
    <t>Mariottini, Gian Luigi/0000-0003-4193-8305</t>
  </si>
  <si>
    <t>10.1007/s003000050384</t>
  </si>
  <si>
    <t>WOS:000081302000002</t>
  </si>
  <si>
    <t>Pörtner, HO; Peck, L; Zielinski, S; Conway, LZ</t>
  </si>
  <si>
    <t>Intracellular pH and energy metabolism in the highly stenothermal Antarctic bivalve Limopsis marionensis as a function of ambient temperature</t>
  </si>
  <si>
    <t>ACID-BASE REGULATION; SIPUNCULUS-NUDUS; OCTOPINE DEHYDROGENASE; NITRILOTRIACETIC ACID; FEEDING-ACTIVITY; ZOOPLANKTON; STARVATION; INHIBITION; CONCINNA; SEAWATER</t>
  </si>
  <si>
    <t>Changes in oxygen consumption, ammonia excretion and in the acid-base and energy status of various tissues were investigated in the cold stenothermal Antarctic bivalve, Limopsis marionensis, and compared to similar data in the limpet, Nacella concinna, for an assessment of thermal sensitivity. Oxygen consumption of L. marionensis varied between -1.5 and 2 degrees C with a Q(10) of 2.2. Ammonia excretion could only be detected in animals exposed to elevated temperature for periods in excess of 45 days and close to death and it is interpreted as the onset of protein and amino acid catabolism with starvation under temperature stress. In L. marionensis any change in temperature as well as starvation stress at constant temperature induced a decrease in phospho-L-arginine and ATP levels. However, only temperature stress resulted in a drop in the Gibb's free energy change of ATP hydrolysis. Intracellular pH rose in all tissues during upward or downward temperature changes of only 1.5 or 2 degrees C for 24 h with a concomitant trend to accumulate succinate and acetate in the: tissues. These changes are seen to reflect disturbances of the tissue acid-base and energy status with any under- or overshoot in aerobic metabolic rate during a temperature decrease or increase. Elevated temperature: at 2 degrees C during 2 weeks of incubation resulted in continued net ATP depletion, at low levels of ATP free energy. This indicates long-term stress, which was also mirrored in the inability to establish a new steady-state mean rate of oxygen consumption. Incubation at even higher temperatures of 4 and 7 degrees C led to an aggravation of energetic stress and transition to an intracellular acidosis, as well as a fall in oxygen consumption. In N. concinna a drop in energy levels was also visible at 2 degrees C but was compensated for during long-term incubation. In conclusion, L. marionensis will be able to compensate for a temperature change only in a very narrow range whereas the thermal tolerance window is much wider in N. concinna. The inability of the metabolic rate to rise continually and the concomitant transition to anaerobic metabolism and long-term energetic stress characterize the upper critical temperature. Stenothermality is discussed, not only as reflecting the permanent and very stable low temperature in the natural environment, but also regarding differences in the level of activity and aerobic scope.</t>
  </si>
  <si>
    <t>10.1007/s003000050386</t>
  </si>
  <si>
    <t>WOS:000081302000004</t>
  </si>
  <si>
    <t>Thatje, S; Mutschke, E</t>
  </si>
  <si>
    <t>Distribution of abundance, biomass, production and productivity of macrozoobenthos in the sub-Antarctic Magellan Province (South America)</t>
  </si>
  <si>
    <t>QUANTITATIVE INVESTIGATIONS; WEDDELL SEA</t>
  </si>
  <si>
    <t>Distribution of abundance, biomass, productivity and production of macrozoobenthos was investigated in four study areas in the Magellan region (South Patagonian Ice-Field, Strait of Magellan, Beagle Channel, Continental Shelf). Using a Reineck box corer and a multibox corer, a total of 277 quantitative benthos samples were taken at 78 stations in water depths between 8 and 1139 m during the Joint Chilean-German-Italian Magellan Victor-Hensen Campaign in 1994, the Polarstern expedition ANT XIII/4 in 1996 and the Chilean expeditions Cimar Fiordo II + III in 1996 and 1997, respectively, on board RV Vidal Gormaz. Mean abundance in the South Patagonian Ice-Field was significantly lower than in the Strait of Magellan and the Beagle Channel. Biomass and abundance decreased clearly with depth (20-300 m to 700-1500 m: 3.9 gC m(-2) to 0.6 gC m(-2); 2832 ind. m(-2) to 569 ind. m(-2)). Average abundance, biomass and production of the whole Magellan region are lower (2318 ind. m(-2), 3.2 gC m(-2), 0.62 gC m(-2) year(-1)) than in the high Antarctic Weddell Sea. In the Magellan region, macrozoobenthos composition of abundance is mainly dominated by polychaetes (56%), followed by arthropods (16%), echinoderms (10%) and molluscs (11%). Comparisons of our: present results with those of high Antarctic areas make it clear that the Magellan region has a transitional character.</t>
  </si>
  <si>
    <t>Alfred Wegener Inst Polar &amp; Marine Res, D-27576 Bremerhaven, Germany; Univ Magallanes, Inst Patagonia, Punta Arenas, Chile</t>
  </si>
  <si>
    <t>Helmholtz Association; Alfred Wegener Institute, Helmholtz Centre for Polar &amp; Marine Research; Universidad de Magallanes</t>
  </si>
  <si>
    <t>Thatje, S (corresponding author), Alfred Wegener Inst Polar &amp; Marine Res, POB 120161, D-27576 Bremerhaven, Germany.</t>
  </si>
  <si>
    <t>WOS:000081302000005</t>
  </si>
  <si>
    <t>Newman, SJ; Nicol, S; Ritz, D; Marchant, H</t>
  </si>
  <si>
    <t>Susceptibility of Antarctic krill (Euphausia superba Dana) to ultraviolet radiation</t>
  </si>
  <si>
    <t>UV-B RADIATION; ELEPHANT ISLAND; OZONE DEPLETION; ZOOPLANKTON; DAMAGE; DISTRIBUTIONS; PHYTOPLANKTON; SENSITIVITY; BIOLOGY; DIATOMS</t>
  </si>
  <si>
    <t>We irradiated captive juvenile Euphausia superba in the laboratory with lower than spring surface levels of ultraviolet-B, ultraviolet-A and photosynthetically active radiation, in order to examine their response in terms of mortality and generalised activity. Levels of photosynthetically active radiation 3-5 times below surface irradiance caused krill to die within a week, while animals in the dark survived. Addition of ultraviolet-B typical of depths up to 15 m were found to significantly accelerate mortality and lead to a drop in activity in all experiments. A drop in activity in krill exposed to ultraviolet-A wavelengths was evident without an increase in mortality. The protein content of animals from various treatments was found not to vary.</t>
  </si>
  <si>
    <t>Univ Tasmania, Dept Zool, Hobart, Tas 7001, Australia; Australian Antarctic Div, Kingston, Tas 7050, Australia</t>
  </si>
  <si>
    <t>Newman, SJ (corresponding author), Univ Tasmania, Dept Zool, GPO 252-05, Hobart, Tas 7001, Australia.</t>
  </si>
  <si>
    <t>Newman, Stuart/B-7705-2013</t>
  </si>
  <si>
    <t>Newman, Stuart/0000-0002-4067-5497</t>
  </si>
  <si>
    <t>10.1007/s003000050389</t>
  </si>
  <si>
    <t>WOS:000081302000007</t>
  </si>
  <si>
    <t>Valenziano, L; Dall'Oglio, G</t>
  </si>
  <si>
    <t>Millimetre astronomy from the high antarctic plateau: Site testing at Dome C</t>
  </si>
  <si>
    <t>PUBLICATIONS OF THE ASTRONOMICAL SOCIETY OF AUSTRALIA</t>
  </si>
  <si>
    <t>site testing; methods : observational and data analysis</t>
  </si>
  <si>
    <t>225-GHZ ATMOSPHERIC OPACITY; SOUTH-POLE; TRANSMISSION; PHOTOMETER; WATER</t>
  </si>
  <si>
    <t>Preliminary site testing results at Dome C (Antarctica) are presented, using both Automatic Weather Station (AWS) meteorological data (1986-1993) and Precipitable Water Vapour (PWV) measurements made by the authors. A comparison with the South Pole and other sites is made. The South Pole is a well established astrophysical observing site, where extremely good conditions are reported for a large fraction of time during the year. Dome C, where Italy and France are building a new scientific station, is a potential observing site in the millimetre and submillimetre range. AWS are operating at both sites and they have been continuously monitoring temperature, pressure and wind speed and direction for more than ten years. Site testing instruments are already operating at the South Pole (AASTO, Automated Astrophysical Site-Testing Observatory), while light experiments have been running at Dome C (APACHE, Antarctic Plateau Anisotropy CHasing Experiment) during summertime. A direct comparison between the two sites is planned in the near future, using the AASTO. The present analysis shows that the average wind speed is lower at Dome C (similar to 1 ms(-1)) than at the South Pole (similar to 2 m s(-1)) while temperature and PWV are comparable.</t>
  </si>
  <si>
    <t>CNR, TESRE, I-40129 Bologna, Italy; Univ Roma TRE, Dipartimento Fis, I-00154 Rome, Italy</t>
  </si>
  <si>
    <t>Consiglio Nazionale delle Ricerche (CNR); Roma Tre University</t>
  </si>
  <si>
    <t>CNR, TESRE, Via P Gobetti 101, I-40129 Bologna, Italy.</t>
  </si>
  <si>
    <t>valenziano@tesre.bo.cnr.it; dalloglio@amaldi.fis.uniroma3.it</t>
  </si>
  <si>
    <t>Valenziano, Luca/0000-0002-1170-0104</t>
  </si>
  <si>
    <t>1323-3580</t>
  </si>
  <si>
    <t>1448-6083</t>
  </si>
  <si>
    <t>PUBL ASTRON SOC AUST</t>
  </si>
  <si>
    <t>Publ. Astron. Soc. Aust.</t>
  </si>
  <si>
    <t>10.1071/AS99167</t>
  </si>
  <si>
    <t>230TY</t>
  </si>
  <si>
    <t>WOS:000082267500009</t>
  </si>
  <si>
    <t>Unsworth, JB; Wauchope, RD; Klein, AW; Dorn, E; Zeeh, B; Yeh, SM; Akerblom, M; Racke, KD; Rubin, B</t>
  </si>
  <si>
    <t>Significance of the long range transport of pesticides in the atmosphere - (Technical report)</t>
  </si>
  <si>
    <t>PURE AND APPLIED CHEMISTRY</t>
  </si>
  <si>
    <t>SIERRA-NEVADA MOUNTAINS; RANDOM-WALK MODEL; VAPOR-PHASE; ENVIRONMENTAL FATE; SPRAY DRIFT; ORGANOCHLORINE CONTAMINANTS; POLYCHLORINATED-BIPHENYLS; TRIAZINE HERBICIDES; ORGANIC-COMPOUNDS; NORTHERN GERMANY</t>
  </si>
  <si>
    <t>Since the 1960s there has been a growing body of data regarding the presence of pesticides in the atmosphere. The monitoring results obtained show that traces of pesticides may undergo long range transport and be deposited considerable distances away from the treatment areas, including remote areas such as the Arctic and Antarctic regions. Pesticides have been found in air, rain, cloud water, fog and snow. The appearance and subsequent behaviour of pesticides in the atmosphere are complex processes and the concentrations found depend on several variables such as their volatility, photostability, method of application and extent of use. Whilst volatility of pesticides can be linked to their Henry's Law constant this is very much a simplification since it is also influenced by the surfaces treated, e.g. soil or leaves, and by the extent to which aerosols are formed during the application. The disappearance of pesticides from the atmosphere is due to hydrolysis, indirect photolysis via OH. radicals and to deposition in rain. Pesticides which are resistant to hydrolysis and photolysis can be transported over great distances, for example, organochlorine insecticides have been detected in the Arctic regions. In general, concentrations in rainwater are, when detected, in the low or sub mu g/L range and highest concentrations are found during the time of application. The use of fugacity models has been shown to be a useful approach to predict concentrations in air. Under most conditions the presence of pesticides in air, or rainwater, has no significant effects on nontarget systems, including direct and indirect effects. Exceptions to this are damage by auxintype herbicides to sensitive plants which has resulted on restrictions in their use in certain areas and transient chlorotic spotting thought to be caused by drift of aerosols from application of low rate sulfonyl urea herbicides. For animal species one possible exception has been postulated. This is for persistent organochlorine pesticides in Arctic regions where, due to the very oligotrophic nature of the Arctic ocean, they are more liable to bioaccumulate and be transported in the food web giving enhanced levels in mothers' milk.</t>
  </si>
  <si>
    <t>Rhone Poulenc Agr, Ongar, Essex, England; USDA, Tifton, GA USA; Umweltbundesamt, Berlin, Germany; AgrEvo, Frankfurt, Germany; BASF Corp, Res Triangle Pk, NC USA; Zeneca Ag Prod, Richmond, CA USA; Swedish Univ Agr Sci, Uppsala, Sweden; Dow AgroSci, Indianapolis, IN USA; Hebrew Univ Jerusalem, IL-76100 Rehovot, Israel</t>
  </si>
  <si>
    <t>United States Department of Agriculture (USDA); BASF; Swedish University of Agricultural Sciences; Dow Chemical Company; Hebrew University of Jerusalem</t>
  </si>
  <si>
    <t>Rhone Poulenc Agr, Ongar, Essex, England.</t>
  </si>
  <si>
    <t>0033-4545</t>
  </si>
  <si>
    <t>1365-3075</t>
  </si>
  <si>
    <t>PURE APPL CHEM</t>
  </si>
  <si>
    <t>Pure Appl. Chem.</t>
  </si>
  <si>
    <t>10.1351/pac199971071359</t>
  </si>
  <si>
    <t>255VG</t>
  </si>
  <si>
    <t>WOS:000083690400019</t>
  </si>
  <si>
    <t>Mackenzie, IA; Harwood, RS; Stott, PA; Watson, GC</t>
  </si>
  <si>
    <t>Radiative-dynamic effects of the Antarctic ozone hole and chemical feedback</t>
  </si>
  <si>
    <t>QUARTERLY JOURNAL OF THE ROYAL METEOROLOGICAL SOCIETY</t>
  </si>
  <si>
    <t>chemistry; dynamics; feedback; ozone; radiation</t>
  </si>
  <si>
    <t>LOWER STRATOSPHERE; MIDDLE ATMOSPHERE; MODEL; CHLORINE; PHOTOCHEMISTRY; RESOLUTION; TRANSPORT; DEPLETION; CLIMATE; REGIONS</t>
  </si>
  <si>
    <t>A southern hemisphere winter/spring is simulated with the Coupled Stratosphere-Mesosphere Interactive Chemistry model, a mechanistic model of the middle atmosphere with an interactive chemistry scheme. Simulations are initialized and forced at the lower boundary with dynamic fields taken from UK Meteorological Office assimilations for 1992. Radiative and dynamic effects of ozone depletion are investigated by comparing runs that include heterogeneous chemistry and hence develop an ozone hole, with otherwise identical control runs with no heterogeneous chemistry and no ozone hole. Temperatures in the ozone hole and control runs start to diverge from around mid-September; by late October the lower stratosphere is up to similar to 12 K cooler when an ozone hole is present. In the mid and upper stratosphere, a strengthened general circulation and an enhanced radiative heating rate in the ozone-depleted runs lead to slightly higher temperatures at the high southern latitudes than in the control runs. The initially smooth evolution of the temperature difference at the upper levels is interrupted in mid-October by more transient events associated with planetary-wave activity The feedback onto the chemistry of the physical changes wrought by using the depleted ozone in the radiative calculations is investigated by comparing runs of a chemical transport model forced by winds and temperatures calculated with and without an ozone hole. The ozone-hole induced cooling does not change the spatial extent of the chlorine and bromine activation, and only slightly extends its duration. Consequently, the depth and size of the ozone hole are unchanged by chemical feedback. Local deficits in the ozone column of up to similar to 30 Dobson units which arise in the cooler run in October are due to differences in horizontal transport. The increased diabatic descent resulting from using the depleted ozone for the radiation calculations does not significantly alter the vertical transport of polar ozone, the rate of which is low compared with the rate of chemical ozone destruction.</t>
  </si>
  <si>
    <t>Univ Edinburgh, Dept Meteorol, Edinburgh EH9 3JZ, Midlothian, Scotland</t>
  </si>
  <si>
    <t>University of Edinburgh</t>
  </si>
  <si>
    <t>Mackenzie, IA (corresponding author), Univ Edinburgh, Dept Meteorol, James Clerk Maxwell Bldg,Kings Bldg,Mayfield Rd, Edinburgh EH9 3JZ, Midlothian, Scotland.</t>
  </si>
  <si>
    <t>Scott, Peter/GYA-5335-2022; mackenzie, ian a/E-9320-2013; Stott, Peter/N-1228-2016</t>
  </si>
  <si>
    <t>Stott, Peter/0000-0003-4853-7686</t>
  </si>
  <si>
    <t>ROYAL METEOROLOGICAL SOC</t>
  </si>
  <si>
    <t>READING</t>
  </si>
  <si>
    <t>104 OXFORD ROAD, READING, BERKS, ENGLAND RG1 7LJ</t>
  </si>
  <si>
    <t>0035-9009</t>
  </si>
  <si>
    <t>Q J ROY METEOR SOC</t>
  </si>
  <si>
    <t>Q. J. R. Meteorol. Soc.</t>
  </si>
  <si>
    <t>10.1256/smsqj.55811</t>
  </si>
  <si>
    <t>230MK</t>
  </si>
  <si>
    <t>WOS:000082254800011</t>
  </si>
  <si>
    <t>Application of the Dopplionogram to Doppler-sorted interferometry measurements of ionospheric drift velocity</t>
  </si>
  <si>
    <t>DYNASONDE</t>
  </si>
  <si>
    <t>The Dopplionogram was developed as a method of displaying Doppler shifts along the frequency axis of ionograms recorded using B-mode soundings of the Dynasonde, an early type of HF digital ionosonde. The basic idea of recording Doppler shifts in an ionogram format is applied and extended to the Doppler velocity mode of the Digisonde Portable Sounder-4 (DPS-4), a related and more recent type of digital ionosonde. In order to describe our mode of operation a Dopplionogram is redefined to mean a set of stepped-frequency soundings that yields a set of ionospheric Doppler shifts particular to the chosen transmission frequencies. Extension of the technique to include Doppler-sorted interferometry (DSI) analysis of the Doppler spectra facilitates a detailed analysis of ionospheric velocity variations in time and group height. This revitalized approach to DSI should prove useful for the study of ionospheric dynamics for which knowledge of the height profile of electric currents, drift velocity, and neutral winds is required. The technique is demonstrated using measurements of polar cap plasma winds obtained with a DPS-4 located at Casey, Antarctica (66.3 degrees S, 110.5 degrees E).</t>
  </si>
  <si>
    <t>La Trobe Univ, Dept Phys, Bundoora, Vic 3083, Australia; Australian Antarctic Div, Kingston, Tas 7050, Australia</t>
  </si>
  <si>
    <t>La Trobe University; Australian Antarctic Division</t>
  </si>
  <si>
    <t>Parkinson, ML (corresponding author), La Trobe Univ, Dept Phys, Bundoora, Vic 3083, Australia.</t>
  </si>
  <si>
    <t>m.parkinson@latrobe.edu.au</t>
  </si>
  <si>
    <t>1944-799X</t>
  </si>
  <si>
    <t>10.1029/1999RS900029</t>
  </si>
  <si>
    <t>219VF</t>
  </si>
  <si>
    <t>WOS:000081627300011</t>
  </si>
  <si>
    <t>Rodger, CJ; Thomson, NR; Wait, JR</t>
  </si>
  <si>
    <t>VLF scattering from red sprites: Vertical columns of ionization in the Earth-ionosphere waveguide</t>
  </si>
  <si>
    <t>SUBIONOSPHERIC TRANSMISSIONS; WAVE-GUIDE; ELF RADIATION; RAPID ONSET; PLASMA; DECAY; PERTURBATIONS; SIGNATURES</t>
  </si>
  <si>
    <t>Red sprites were discovered by chance in 1989 when a low-light TV system was pointed above an active thunderstorm. Optically, they are observed as clusters of short-lived (similar to 50 ms) pinkish-red luminous events, sometimes stretching from similar to 40 to similar to 85 km altitude. Red sprites are associated with ionization in the Earth-ionosphere waveguide, which can persist for up to similar to 100 s at higher altitudes. The structured ionization associated with red sprites has been observed through VLF sprites, perturbations of the phase and/or amplitude of subionospheric VLF transmissions, which can be used to study the electrical properties of the red sprite plasma. Previous theoretical studies have simplified the problem by assuming the red sprite associated ionizations were columns of infinite length, or inside a flat-Earth waveguide. In this paper we present an approach for examining the scattering of VLF transmissions by a finite-length column of ionization inside the Earth-ionosphere waveguide, including the effect of realistic curvature of the waveguide. These expressions are applied to the detection and study of red sprites by assuming that the associated ionization can be treated as a (cluster of) truncated columns in the Earth-ionosphere waveguide. An example calculation is presented, examining the farthest distance from the red sprite from which it might be detected as a VLF sprite.</t>
  </si>
  <si>
    <t>British Antarctic Survey, NERC, Cambridge CB3 0ET, England; Univ Otago, Dept Phys, Dunedin, New Zealand</t>
  </si>
  <si>
    <t>British Antarctic Survey, NERC, High Cross,Magingley Rd, Cambridge CB3 0ET, England.</t>
  </si>
  <si>
    <t>cjro@mail.nerc-bas.ac.uk; thomson@physics.otago.ac.nz</t>
  </si>
  <si>
    <t>10.1029/1999RS900051</t>
  </si>
  <si>
    <t>WOS:000081627300012</t>
  </si>
  <si>
    <t>Rodger, CJ; Nunn, D</t>
  </si>
  <si>
    <t>VLF scattering from red sprites: Application of numerical modeling</t>
  </si>
  <si>
    <t>SUBIONOSPHERIC TRANSMISSIONS; IONOSPHERIC PERTURBATIONS; SIGNATURES; PLASMA; THUNDERSTORM; PROPAGATION; DISCHARGES; IONIZATION; AUSTRALIA; ALTITUDE</t>
  </si>
  <si>
    <t>Red sprites were discovered by chance in 1989 when a low-fight TV system was pointed above an active thunderstorm. Red sprites are associated with columns of ionization in the Earth-ionosphere waveguide, from above the thunderstorm into the D region of the ionosphere. The ionized columns have been detected through VLF sprites, perturbations of the phase and/or amplitude of subionospheric VLF transmissions, which can be used to study the electrical properties of red sprites. There is extensive experimental evidence that VLF sprites may involve wide scattering angles and can produce back scattered radiation. Here we present a numerical and theoretical study of the scattering of subionospheric VLF transmissions caused by the plasma columns associated with red sprites. Comparison of the VLF scattering from sprites is made between a non-Born rigorous model which assumes the sprites are infinite columns of constant conductivity, and a three dimensional Born scattering code. Both formulations show excellent agreement with one another. The formulations predict VLF sprites similar to those experimentally observed for all scattering angles. This shows that the conclusions of previous studies into VLF sprites making use of the non-Born formulations of Rodger et al. [1997a, b] are valid. The modeling provides strong evidence that red sprite plasma is highly ionized in comparison with the ambient nighttime ionosphere, being nearly 5 orders of magnitude greater than the ambient at some heights.</t>
  </si>
  <si>
    <t>British Antarctic Survey, NERC, Div Atmospher Sci, Cambridge CB3 0ET, England; Univ Southampton, Dept Elect &amp; Comp Sci, Southampton SO17 1BJ, Hants, England</t>
  </si>
  <si>
    <t>British Antarctic Survey, NERC, Div Atmospher Sci, High Cross,Madingley Rd, Cambridge CB3 0ET, England.</t>
  </si>
  <si>
    <t>cjro@mail.nerc-bas.ac.uk; D.Nunn@ecs.soton.ac.uk</t>
  </si>
  <si>
    <t>10.1029/1999RS900040</t>
  </si>
  <si>
    <t>WOS:000081627300013</t>
  </si>
  <si>
    <t>Clilverd, MA; Watkins, NW; Smith, AJ; Yearby, KH</t>
  </si>
  <si>
    <t>Diurnal and annual variations in 10-kHz radio noise</t>
  </si>
  <si>
    <t>VLF; ANTARCTICA; SFERICS</t>
  </si>
  <si>
    <t>It is shown that the investigation of lightning activity levels, using very low frequency radio emissions near 10 kHz, needs to take into account the significant influences of subionospheric propagation. Ten-kilohertz spectral power measurements made at Halley, Antarctica (76 degrees S, 26 degrees W), show at least two significant periodicities. The largest variation (10 dB) is due to the diurnal cycle and is strongly dominated by South American thunderstorm activity levels. The effect of African thunderstorm activity is observable in the diurnal variation plots but is strongly reduced by disadvantageous propagation conditions. The analysis suggests that given two identical tropical source regions, one situated east and one situated west, of a polar receiver site, the region to the west will tend to dominate the diurnal variation. The smaller annual variation at Halley (3 dB) can be explained by the improved subionospheric propagation conditions during the Southern Hemisphere winter counterbalancing the seasonal effects of decreased source activity in South America.</t>
  </si>
  <si>
    <t>British Antarctic Survey, Cambridge CB3 0ET, England; Univ Sheffield, Dept Automat Control &amp; Syst Engn, Sheffield S1 3JD, S Yorkshire, England</t>
  </si>
  <si>
    <t>Clilverd, MA (corresponding author), British Antarctic Survey, Madinglry Rd, Cambridge CB3 0ET, England.</t>
  </si>
  <si>
    <t>Watkins, Nicholas Wynn/C-5140-2008; Watkins, Nick/GPX-7439-2022</t>
  </si>
  <si>
    <t>Watkins, Nicholas Wynn/0000-0003-4484-6588; Watkins, Nick/0000-0003-4484-6588</t>
  </si>
  <si>
    <t>10.1029/1999RS900009</t>
  </si>
  <si>
    <t>WOS:000081627300014</t>
  </si>
  <si>
    <t>Clilverd, MA; Thomson, NR; Rodger, CJ</t>
  </si>
  <si>
    <t>Sunrise effects on VLF signals propagating over a long north-south path</t>
  </si>
  <si>
    <t>We present a detailed study of the times of amplitude minima observed on the 12-Mm path from NAA (24 kHz, 1 MW, Cutler, Maine) to Faraday, Antarctica, during the period 1990-1995. (NAA is a naval transmitter call sign.) This study represents the first account of the effect of the sunrise terminator when it is parallel to a propagation path at some times of the year. Since the NAA-Faraday path is within 3 degrees of the north-south meridian, parallel orientation happens close to the equinoxes, while the maximum angle of incidence occurs during the solstices. During the solstices the terminator takes a significant length of time to cross the entire propagation path, so modal conversion effects are observed over a range of hours. During the equinoxes, however, the leading edge of the night-day transition region crosses the whole propagation path within 20 min. The interpretation of the timing of minima is consistent with modal conversion taking place as the sunrise terminator crosses the NAA-Faraday transmission path at specific, consistent locations. The timing of minima is remarkably consistent from year to year. Long wave propagation modeling is used to show that the location of nightside minima at an altitude of 45-75 km in the subionospheric waveguide represents the location of the sunrise terminator on the great circle path when dayside minima occur.</t>
  </si>
  <si>
    <t>British Antarctic Survey, Cambridge CB3 0ET, England; Univ Otago, Dept Phys, Dunedin, New Zealand</t>
  </si>
  <si>
    <t>Clilverd, MA (corresponding author), British Antarctic Survey, Madingley Rd, Cambridge CB3 0ET, England.</t>
  </si>
  <si>
    <t>10.1029/1999RS900052</t>
  </si>
  <si>
    <t>WOS:000081627300015</t>
  </si>
  <si>
    <t>Mouri, H; Nagao, I; Okada, K; Koga, S; Tanaka, H</t>
  </si>
  <si>
    <t>Individual-particle analyses of coastal Antarctic aerosols</t>
  </si>
  <si>
    <t>MARINE BOUNDARY-LAYER; NORTH-ATLANTIC; ATMOSPHERE; NITRATE; ACID</t>
  </si>
  <si>
    <t>Samplings of aerosol particles were made almost monthly throughout a year at a coastal Antarctic station Syowa (69 degrees 00'S, 39 degrees 35'E). With X-ray spectrometry. elemental composition of the individual particles is studied. The dominant aerosol constituents are sulfur species and sea salt. They are internally mixed with each other in most cases. We find seasonal variations in (1) the relative importance of sulfur and sea salt, and (2) the modification of sea salt by acidic materials. In the austral-summer samples, the number fractions of sulfur-rich particles and modified sea-salt particles are high, because the production of marine organosulfer was enhanced. In the austral-winter samples, the number fraction of unmodified sea-salt particles is high, because severe storms enhanced the production of sea salt.</t>
  </si>
  <si>
    <t>Meteorol Res Inst, Tsukuba, Ibaraki 305, Japan; Nagoya Univ, Inst Hydrospher Atmospher Sci, Nagoya, Aichi 464, Japan; Natl Inst Resources &amp; Environm, Tsukuba, Ibaraki 305, Japan</t>
  </si>
  <si>
    <t>Meteorological Research Institute - Japan; Nagoya University; National Institute of Advanced Industrial Science &amp; Technology (AIST)</t>
  </si>
  <si>
    <t>Mouri, H (corresponding author), Meteorol Res Inst, 1-1 Nagamine, Tsukuba, Ibaraki 305, Japan.</t>
  </si>
  <si>
    <t>Nagao, Ippei/I-6335-2014; Koga, Seizi/L-5695-2018</t>
  </si>
  <si>
    <t>Mouri, Hideaki/0000-0003-4679-7599; Koga, Seizi/0000-0001-6742-0403</t>
  </si>
  <si>
    <t>10.1034/j.1600-0889.1999.t01-2-00002.x</t>
  </si>
  <si>
    <t>220JK</t>
  </si>
  <si>
    <t>WOS:000081661700002</t>
  </si>
  <si>
    <t>Stoll, MHC; De Baar, HJW; Hoppema, M; Fahrbach, E</t>
  </si>
  <si>
    <t>New early winter fCO2 data reveal continuous uptake of CO2 by the Weddell Sea</t>
  </si>
  <si>
    <t>CARBON-DIOXIDE; DISSOCIATION-CONSTANTS; SOUTHERN-OCEAN; NORTH-ATLANTIC; BOTTOM WATER; TRANSPORT; SEAWATER; PACIFIC; CIRCULATION; SUMMER</t>
  </si>
  <si>
    <t>The Antarctic Ocean has been thought to be unimportant for the uptake of CO2 since upwelling of CO2-enriched deep waters would favour outgassing. Here we present the first direct f(co2) measurements obtained in early winter under the ice which, combined with estimated entrainment rates, show that the Weddell Sea, an area of intense upwelling manifested by the doming structure of the cyclonic gyre, has the capability to be almost continuously a sink fur atmospheric CO2. A Bur, effective after the ice cover disappears, is estimated to be -0.74+/-0.7 mmol m(-2) d(-1). Combined with a flux estimate in late autumn (- 2.0 mmol m(-2) d(-1)) integrated over the area of the central Weddell Gyre, a carbon uptake of 0.24 x 10(13) gC y(-1) (approximate to 24 x 10(-3) GtC y(-1) being approximate to 1 parts per thousand of global uptake) is computed, which is about a third of the strength of the biological pump of the Weddell Sea.</t>
  </si>
  <si>
    <t>Netherlands Inst Sea Res, NL-1790 AB Den Burg, Netherlands; Alfred Wegener Inst Polar &amp; Marine Res, D-27515 Bremerhaven, Germany; Univ Bremen, Dept Tracer Oceanog, D-28334 Bremen, Germany</t>
  </si>
  <si>
    <t>Utrecht University; Royal Netherlands Institute for Sea Research (NIOZ); Helmholtz Association; Alfred Wegener Institute, Helmholtz Centre for Polar &amp; Marine Research; University of Bremen</t>
  </si>
  <si>
    <t>Stoll, MHC (corresponding author), Netherlands Inst Sea Res, POB 59, NL-1790 AB Den Burg, Netherlands.</t>
  </si>
  <si>
    <t>Hoppema, Mario/I-6286-2013</t>
  </si>
  <si>
    <t>Hoppema, Mario/0000-0002-2326-619X</t>
  </si>
  <si>
    <t>10.1034/j.1600-0889.1999.t01-2-00008.x</t>
  </si>
  <si>
    <t>WOS:000081661700008</t>
  </si>
  <si>
    <t>Ciattaglia, L; Colombo, T; Masarie, KA</t>
  </si>
  <si>
    <t>Continuous measurements of atmospheric CO2 at Jubany Station, Antarctica</t>
  </si>
  <si>
    <t>5th International CO(2) Conference</t>
  </si>
  <si>
    <t>SEP 08-12, 1997</t>
  </si>
  <si>
    <t>CAIRNS, AUSTRALIA</t>
  </si>
  <si>
    <t>CARBON-DIOXIDE; MODEL; SINKS</t>
  </si>
  <si>
    <t>The first 4 years (1994-1997) of continuous atmospheric CO2 measurements from Jubany station located on the Antarctic peninsula are presented. Details are given on the station environment, meteorological conditions, instrumentation, and data selection strategy. The average seasonal cycle and annual growth rate are characterized and compared with other independent Antarctic CO2 measurement records. An analysis of diurnal behaviour and local meteorology and statistical variability in the measurements suggests that Jubany is a suitable site lot making systematic observations of CO2 that are representative of large wen-mixed air masses.</t>
  </si>
  <si>
    <t>CNR, Ist Fis Atmosfera, Rome, Italy; Serv Meteorol AM, Mt Cimone, Sestola, Italy; Univ Colorado, Cooperat Inst Res Environm Sci, Boulder, CO 80309 USA; NOAA, Climate Monitoring &amp; Diagnost Lab, Boulder, CO 80303 USA</t>
  </si>
  <si>
    <t>Consiglio Nazionale delle Ricerche (CNR); University of Colorado System; University of Colorado Boulder; National Oceanic Atmospheric Admin (NOAA) - USA</t>
  </si>
  <si>
    <t>Ciattaglia, L (corresponding author), CNR, Ist Fis Atmosfera, Rome, Italy.</t>
  </si>
  <si>
    <t>10.1034/j.1600-0889.1999.t01-1-00011.x</t>
  </si>
  <si>
    <t>WOS:000081661700011</t>
  </si>
  <si>
    <t>Bharathi, PAL; Nair, S; De Souza, MJ; Chandramohan, D</t>
  </si>
  <si>
    <t>Truce with oxygen - Anaerobiosis outcompete aerobiosis in the Antarctic lacustrine bacteria</t>
  </si>
  <si>
    <t>SCHIRMACHER-OASIS; LAKES</t>
  </si>
  <si>
    <t>The total number of bacteria counted directly by epifluorescent microscopy showed that they ranged from 10(8)-10(9) I-1 in Antarctic lake water samples. The percentages of retrievable viable counts (RVC) of anaerobic bacteria (AnB) was greater than aerobic counts. Among the different groups of anaerobes, the order of retrieval was Thiobacillus denitrificans like organisms (TDLO)&gt; fermentative bacteria (FB)&gt; sulfate reducing bacteria (SRB), The total direct anaerobic viable counts (TDAnVC) was one order more than the total direct aerobic viable counts (TDAeVC). Laboratory experiments with one of the lake-isolates indicated that there was a tendency to express higher viability of 61% at redox potential (Eh) ranging from -281 to -335 my. It is suggested that the disposition to express increased viability under reducing conditions is a strategy to counteract stress due to supersaturation of oxygen in the cold lacustrine environment.</t>
  </si>
  <si>
    <t>Bharathi, PAL (corresponding author), Natl Inst Oceanog, Dona Paula 403004, Goa, India.</t>
  </si>
  <si>
    <t>JUN 25</t>
  </si>
  <si>
    <t>213GE</t>
  </si>
  <si>
    <t>WOS:000081263700023</t>
  </si>
  <si>
    <t>Uma, S; Jadhav, RS; Kumar, GS; Shivaji, S; Ray, HK</t>
  </si>
  <si>
    <t>A RNA polymerase with transcriptional activity at 0°C from the Antarctic bacterium Pseudomonas syringae</t>
  </si>
  <si>
    <t>FEBS LETTERS</t>
  </si>
  <si>
    <t>Antarctic bacterium; psychrotroph; transcription at low temperature; RNA polymerase</t>
  </si>
  <si>
    <t>COLD SHOCK GENE; ESCHERICHIA-COLI; PSYCHROTROPHIC BACTERIA; BACTERIOPHAGE-T7 DNA; NUCLEOTIDE-SEQUENCE; SCHIRMACHER OASIS; LOW-TEMPERATURE; PURIFICATION; IDENTIFICATION; EXPRESSION</t>
  </si>
  <si>
    <t>A DNA-dependent RNA polymerase was purified from the Antarctic psychrotrophic bacterium Pseudomonas syringae. The RNA polymerase showed a typical eubacterial subunit composition with beta, beta', alpha(2) and sigma subunits. The subunits cross-reacted with antibodies raised against holoenzyme and the individual subunits of the RNA polymerase of Escherichia coli. However, the enzyme was considered unique, since unlike the RNA polymerase of mesophilic E, coli it exhibited significant and consistent transcriptional activity (10-15%) even at 0 degrees C. But, similar to the enzyme from the mesophilic bacterium, the RNA polymerase from P. syringae exhibited optimum activity at 37 degrees C. The study also demonstrates that the RNA polymerase of P. syringae could preferentially transcribe the cold-inducible gene cspA of E. coli only at lower temperatures (0-22 degrees C). The polymerase was also observed to be relatively more rifampicin-resistant during transcription at lower temperature. (C) 1999 Federation of European Biochemical Societies.</t>
  </si>
  <si>
    <t>Ctr Cellular &amp; Mol Biol, Hyderabad 500007, Andhra Pradesh, India</t>
  </si>
  <si>
    <t>Council of Scientific &amp; Industrial Research (CSIR) - India; CSIR - Centre for Cellular &amp; Molecular Biology (CCMB)</t>
  </si>
  <si>
    <t>Ctr Cellular &amp; Mol Biol, Uppal Rd, Hyderabad 500007, Andhra Pradesh, India.</t>
  </si>
  <si>
    <t>malay@ccmb.ap.nic.in</t>
  </si>
  <si>
    <t>Kumar, Dr Suresh/HHZ-2615-2022; Kumar, Gopinatha Suresh/W-1461-2019; Kumar, Senthil T/JCO-2901-2023; V, Santhosh kumar/JXL-8110-2024</t>
  </si>
  <si>
    <t>Kumar, Dr Suresh/0000-0002-2539-6553; shivaji, sisinthy/0000-0003-0376-4658</t>
  </si>
  <si>
    <t>0014-5793</t>
  </si>
  <si>
    <t>1873-3468</t>
  </si>
  <si>
    <t>FEBS LETT</t>
  </si>
  <si>
    <t>FEBS Lett.</t>
  </si>
  <si>
    <t>10.1016/S0014-5793(99)00660-2</t>
  </si>
  <si>
    <t>Biochemistry &amp; Molecular Biology; Biophysics; Cell Biology</t>
  </si>
  <si>
    <t>212XC</t>
  </si>
  <si>
    <t>WOS:000081242100016</t>
  </si>
  <si>
    <t>Benoit, PH; Sears, DWG</t>
  </si>
  <si>
    <t>Accumulation mechanisms and the weathering of Antarctic equilibrated ordinary chondrites</t>
  </si>
  <si>
    <t>MARTIAN METEORITE ALH84001; NATURAL THERMOLUMINESCENCE; VICTORIA-LAND; ALLAN-HILLS; H-CHONDRITES; ICE FIELDS; HISTORY; SHOCK; METAMORPHISM; COLLECTION</t>
  </si>
  <si>
    <t>Induced thermoluminescence (TL) is used to quantitatively evaluate the degree of weathering of meteorites found in Antarctica. We find a weak correlation between TL sensitivity and descriptions of weathering in hand specimens, the highly weathered meteorites having lower TL sensitivity than unweathered meteorites. Analysis of samples taken throughout large meteorites shows that the heterogeneity in TL sensitivity within meteorite finds is not large relative to the range exhibited by different weathered meteorites. The TL sensitivity values can be restored by minimal acid washing, suggesting the lower TL sensitivities of weathered meteorites reflects thin weathering rims on mineral grains or coating of these grains by iron oxides produced by hydration and oxidation of metal and sulfides. Small meteorites may tend to be more highly weathered than large meteorites at the Allan Hills ice fields. We find that meteorite fragments &gt;150 g may take up to 300,000 years to reach the highest degrees of weathering, while meteorites &lt;150 g require &lt;40,000 years. However, at other fields, local environmental conditions and variability in terrestrial history are more important in determining weathering than size alone, Weathering correlates poorly with surface exposure duration, presumably because weathering occurs primarily during interglacial periods. The Allan Hills locality has served as a fairly stable surface over the last 100,000 years or so and has efficiently preserved both small and large meteorites. Meteorites from Lewis Cliff, however, have experienced extensive weathering, probably because of increased surface melt water from nearby outcrops. Meteorites from the Elephant Moraine locality tend to exhibit only minor degrees of weathering, but small meteorites are less weathered than large meteorites, which we suggest is due to the loss of small meteorites by aeolian transport.</t>
  </si>
  <si>
    <t>Univ Arkansas, Dept Chem &amp; Biochem, Cosmochem Grp, Fayetteville, AR 72701 USA</t>
  </si>
  <si>
    <t>University of Arkansas System; University of Arkansas Fayetteville</t>
  </si>
  <si>
    <t>Benoit, PH (corresponding author), Univ Arkansas, Dept Chem &amp; Biochem, Cosmochem Grp, Fayetteville, AR 72701 USA.</t>
  </si>
  <si>
    <t>pbenoit@comp.uark.edu</t>
  </si>
  <si>
    <t>E6</t>
  </si>
  <si>
    <t>10.1029/1999JE900015</t>
  </si>
  <si>
    <t>211DE</t>
  </si>
  <si>
    <t>WOS:000081144000010</t>
  </si>
  <si>
    <t>Mardon, A</t>
  </si>
  <si>
    <t>Barking up the wrong pole</t>
  </si>
  <si>
    <t>Antarctic Inst Canada, Edmonton, AB T5J 2M4, Canada</t>
  </si>
  <si>
    <t>Mardon, A (corresponding author), Antarctic Inst Canada, POB 1223,Main Post Off, Edmonton, AB T5J 2M4, Canada.</t>
  </si>
  <si>
    <t>JUN 24</t>
  </si>
  <si>
    <t>10.1038/21520</t>
  </si>
  <si>
    <t>210JP</t>
  </si>
  <si>
    <t>WOS:000081101600020</t>
  </si>
  <si>
    <t>Zank, GP; Frisch, PC</t>
  </si>
  <si>
    <t>Consequences of a change in the galactic environment of the Sun</t>
  </si>
  <si>
    <t>ASTROPHYSICAL JOURNAL</t>
  </si>
  <si>
    <t>interplanetary medium; methods : numerical; solar wind; Sun : general; Sun : particle emission</t>
  </si>
  <si>
    <t>INTERSTELLAR-MEDIUM; SOLAR-WIND; SHOCK; ICE; BE-10; GAS</t>
  </si>
  <si>
    <t>The interaction of the heliosphere with interstellar clouds has attracted interest since the late 1920s, with a view to explaining apparent both quasi-periodic climate catastrophes as well as periodic mass extinctions. Until recently, however, models describing the solar wind-local interstellar medium (LISM) interaction self-consistently had not been developed. Here we describe the results of a two-dimensional simulation of the interaction between the heliosphere and an interstellar cloud with the same properties as currently, except that the H-0 density is increased from the present value of n(H-0) similar to 0.2 cm(-3) to 10 cm-3. The mutual interaction of interstellar neutral hydrogen and plasma is included. The heliospheric cavity is reduced considerably in size (approximately 10-14 AU to the termination shock in the upstream direction) and is highly dynamical. The interplanetary environment at the orbit of the Earth changes markedly, with the density of interstellar H-0 increasing to similar to 2 cm(-3). The termination shock itself experiences periods where it disappears, reforms, and disappears again. Considerable mixing of the shocked solar wind and LISM occurs because of Rayleigh-Taylor-like instabilities at the nose, driven by ion-neutral friction. Implications of two anomalously high concentrations of Be-10 found in Antarctic ice cores, corresponding to 33,000 and 60,000 yr ago, and the absence of prior similar events are discussed in terms of density enhancements in the surrounding interstellar cloud. The calculation presented here supports past speculation that the Galactic environment of the Sun moderates the interplanetary environment at the orbit of the Earth and possibly also the terrestrial climate.</t>
  </si>
  <si>
    <t>Univ Delaware, Bartol Res Inst, Newark, DE 19716 USA; Univ Chicago, Dept Astron &amp; Astrophys, Chicago, IL 60637 USA</t>
  </si>
  <si>
    <t>University of Delaware; University of Chicago</t>
  </si>
  <si>
    <t>Zank, GP (corresponding author), Univ Delaware, Bartol Res Inst, Newark, DE 19716 USA.</t>
  </si>
  <si>
    <t>UNIV CHICAGO PRESS</t>
  </si>
  <si>
    <t>CHICAGO</t>
  </si>
  <si>
    <t>5720 SOUTH WOODLAWN AVE, CHICAGO, IL 60637-1603 USA</t>
  </si>
  <si>
    <t>0004-637X</t>
  </si>
  <si>
    <t>ASTROPHYS J</t>
  </si>
  <si>
    <t>Astrophys. J.</t>
  </si>
  <si>
    <t>JUN 20</t>
  </si>
  <si>
    <t>10.1086/307320</t>
  </si>
  <si>
    <t>211KA</t>
  </si>
  <si>
    <t>WOS:000081158700040</t>
  </si>
  <si>
    <t>Toubin, C; Picaud, S; Girardet, C</t>
  </si>
  <si>
    <t>Adsorption of small polar molecules as a probe of the surface electric field created by water layers supported by MgO(100): a theoretical study</t>
  </si>
  <si>
    <t>CHEMICAL PHYSICS</t>
  </si>
  <si>
    <t>AB-INITIO; HYDROGEN-CHLORIDE; ICE SURFACES; POTENTIAL CALCULATIONS; CRYSTALLINE ICE; ANTARCTIC OZONE; HCL; H2O; MONOLAYERS; DYNAMICS</t>
  </si>
  <si>
    <t>The adsorption process of molecular pollutants on water layers supported by well-defined ionic surfaces can be used, in a first approximation, to modelize precursor mechanisms implied in the pollution of ice, as studied in glaciology or in polar stratospheric clouds. We use theoretical methods to calculate the electric field and field gradients at the surface of ordered mono and bilayer phases of ice observed at low temperature (less than or equal to 200 K) on MgO(100). We analyze the adsorption properties of several pollutants (N-2, CO2, HCl, HOCl) as a function of the site geometry and field intensity on the basis of semi-empirical potentials and optimization procedures. The layer structure strongly influences the intensity and the direction of the electric field experienced by the pollutant, and the stable adsorption site appears to be a compromise which tends to maximize the field effects and the coordination of the pollutant with the water molecules of the outermost layer. Moreover, the ionic support polarizes strongly the closest water layer and enhances consistently the water field, but its influence becomes rapidly negligible when the substrate-water layer distance increases. (C) 1999 Elsevier Science B.V. All rights reserved.</t>
  </si>
  <si>
    <t>Univ Franche Comte, Mol Phys Lab, UMR CNRS 6624, Fac Sci, F-25030 Besancon, France</t>
  </si>
  <si>
    <t>Universite de Franche-Comte; Centre National de la Recherche Scientifique (CNRS)</t>
  </si>
  <si>
    <t>Toubin, C (corresponding author), Univ Franche Comte, Mol Phys Lab, UMR CNRS 6624, Fac Sci, F-25030 Besancon, France.</t>
  </si>
  <si>
    <t>TOUBIN, Celine/0000-0002-7379-8178</t>
  </si>
  <si>
    <t>0301-0104</t>
  </si>
  <si>
    <t>CHEM PHYS</t>
  </si>
  <si>
    <t>Chem. Phys.</t>
  </si>
  <si>
    <t>JUN 15</t>
  </si>
  <si>
    <t>2-3</t>
  </si>
  <si>
    <t>10.1016/S0301-0104(99)00160-3</t>
  </si>
  <si>
    <t>211UQ</t>
  </si>
  <si>
    <t>WOS:000081180600009</t>
  </si>
  <si>
    <t>Turner, J; Connolley, WM; Leonard, S; Marshall, GJ; Vaughan, DG</t>
  </si>
  <si>
    <t>Spatial and temporal variability of net snow accumulation over the Antarctic from ECMWF re-analysis project data</t>
  </si>
  <si>
    <t>Antarctica; snow accumulation; precipitation; ECMWF re-analysis; climate variability</t>
  </si>
  <si>
    <t>SOUTHERN-HEMISPHERE; MASS-BALANCE; WATER-VAPOR; PENINSULA; PRECIPITATION; CLIMATE; CIRCULATION; GREENLAND; OCEAN; LATITUDES</t>
  </si>
  <si>
    <t>Forecasts from the ECMWF re-analysis project (ERA) covering the period 1979-1993 are used to examine the spatial and temporal distribution of net snow accumulation (precipitation minus evaporation) over the Antarctic continent. There is generally good agreement between the spatial distribution of net accumulation in the model data, when the 15 year mean annual accumulation is considered, and the equivalent maps produced in earlier studies from in situ data. One of the major differences is the westerly displacement of the accumulation maximum on the western side of the Antarctic Peninsula as a result of the model orography having a high degree of smoothing in the east-west direction. The mean annual net accumulation in the ERA data for the whole of the continent is 151 mm year(-1), equivalent to a total accumulation of 2106 x 10(12) kg year(-1). The mean accumulation value is in reasonable agreement with the best estimates from glaciological data, which recent studies have suggested is in the range 150-170 mm year(-1). The lower value from ERA is partly a result of overestimation of evaporation/sublimation from the large ice shelves during the summer and spring, and an underestimation of the precipitation in the interior of the continent. The accumulation from the ERA data is the same as that computed from the operational ECMWF forecasts. During the 15 year data period, the mean accumulation varied from 129.1 mm (1987) to 171.8 mm (1984). Considering the continent as a whole, net accumulation was at a minimum in the summer season, although in coastal parts of West Antarctica, the minimum occurs in spring. The ERA accumulation data for the interior of the continent show no annual cycle and are significantly smaller than the available in situ measurements. At certain coastal sites in West Antarctica there is a clear relationship between annual precipitation and cyclone activity, although in East Antarctica such a relationship is only apparent in monthly data. Copyright (C) 1999 Royal Meteorological Society.</t>
  </si>
  <si>
    <t>British Antarctic Survey, NERC, Madingley Rd, Cambridge CB3 0ET, England.</t>
  </si>
  <si>
    <t>j.turner@bas.ac.uk</t>
  </si>
  <si>
    <t>Vaughan, David/C-8348-2011</t>
  </si>
  <si>
    <t>Vaughan, David/0000-0002-9065-0570; Turner, John/0000-0002-6111-5122</t>
  </si>
  <si>
    <t>10.1002/(SICI)1097-0088(19990615)19:7&lt;697::AID-JOC392&gt;3.3.CO;2-V</t>
  </si>
  <si>
    <t>208UZ</t>
  </si>
  <si>
    <t>WOS:000081011400001</t>
  </si>
  <si>
    <t>Wunsch, C</t>
  </si>
  <si>
    <t>Where do ocean eddy heat fluxes matter?</t>
  </si>
  <si>
    <t>ANTARCTIC CIRCUMPOLAR CURRENT; WESTERN NORTH-ATLANTIC; PACIFIC-OCEAN; CIRCULATION; ENERGY; EDDIES; WAVES; VARIABILITY; TRANSPORT; PARTITION</t>
  </si>
  <si>
    <t>A quasi-global compilation of current meter and temperature records, along with some of the published literature, is used to assess the importance of the meridional eddy heat flux in the ocean circulation, and a comparison is made to a uniform global estimate from altimetric data. Eddy fluxes are found to be important, relative to estimated total heat fluxes, in western boundary current areas of all oceans. Eddy heat flux divergences are potentially important in many other locations, but the mooring coverage is inadequate to be more quantitative. The eddy heat Aux in the Southern Ocean is of only modest magnitude compared with that in the western boundary currents, but because of the large circumpolar distance, the integrated flux is very important and probably dominant. All these results are generally consistent with independent estimates made from satellite altimeter variability, but the mooring coverage is not adequate to assess the apparent importance of eddy heat fluxes in the tropics as implied by the altimeter. With the exception of the extreme northeastern North Atlantic, where the local wind dominates the variability, there is no evidence for upgradient fluxes. Climate change models must apparently accurately model the eddy mean-flow interactions near western boundary currents, in the high-latitude North Atlantic, in the tropics, and in the Southern Ocean. One can infer that models describing other physical properties such as carbon or nutrients must also adequately represent the eddy contributions to those fluxes as well.</t>
  </si>
  <si>
    <t>MIT, Dept Earth Atmospher &amp; Planetary Sci, Cambridge, MA 02139 USA</t>
  </si>
  <si>
    <t>MIT, Dept Earth Atmospher &amp; Planetary Sci, Room 54-1524, Cambridge, MA 02139 USA.</t>
  </si>
  <si>
    <t>C6</t>
  </si>
  <si>
    <t>10.1029/1999JC900062</t>
  </si>
  <si>
    <t>207BF</t>
  </si>
  <si>
    <t>WOS:000080914900001</t>
  </si>
  <si>
    <t>McCarthy, MC; Talley, LD</t>
  </si>
  <si>
    <t>Three-dimensional isoneutral potential vorticity structure in the Indian Ocean</t>
  </si>
  <si>
    <t>TOTAL GEOSTROPHIC CIRCULATION; GENERAL-CIRCULATION; WORLDS OCEANS; THERMOCLINE CIRCULATION; AGULHAS RETROFLECTION; HYDROGRAPHIC SECTION; INTERMEDIATE WATER; NEUTRAL SURFACES; PLANETARY-WAVES; FLOW PATTERNS</t>
  </si>
  <si>
    <t>The three-dimensional isoneutral potential vorticity structure of the Indian Ocean is examined using World Ocean Circulation Experiment and National Oceanic and Atmospheric Administration conductivity-temperature-depth data and historical bottle data. The distribution of the potential vorticity is set by the Indian Ocean's source waters and their circulation inside the basin. The lower thermocline has a high potential vorticity signal extending westward from northwest of Australia and a low signal from the Subantarctic Mode Water in the south. The Antarctic Intermediate Water inflow creates patches of high potential vorticity at intermediate depths in the southern Indian Ocean, below which the field becomes dominated by planetary vorticity, indicating a weaker meridional circulation and weaker potential vorticity sources. Wind-driven gyre depths have lower potential vorticity gradients primarily due to same-source waters. Homogenization and western shadow zones are not observed. The P-effect dominates the effect of the Somali Current and the Red Sea Water on the potential vorticity distribution. Isopleths tilt strongly away from latitude lines in the deep and abyssal waters as the Circumpolar Deep Water fills the basins in deep western boundary currents, indicating a strong meridional circulation north of the Antarctic Circumpolar Current. The lower-gradient intermediate layer surrounded vertically by layers with higher meridional potential vorticity gradients in the subtropical Indian Ocean suggests that Rossby waves will travel similar to 1.3 times faster than standard theory predicts. To the south, several pools of homogenized potential vorticity appear in the upper 2000 m of the Southern Ocean where gyres previously have been identified. South of Australia the abyssal potential vorticity structure is set by a combination of the Antarctic Circumpolar Current and the bathymetry.</t>
  </si>
  <si>
    <t>Univ Calif San Diego, Scripps Inst Oceanog, La Jolla, CA 92093 USA</t>
  </si>
  <si>
    <t>Univ Calif San Diego, Scripps Inst Oceanog, 9500 Gilman Dr,0230, La Jolla, CA 92093 USA.</t>
  </si>
  <si>
    <t>10.1029/1999JC900028</t>
  </si>
  <si>
    <t>WOS:000080914900002</t>
  </si>
  <si>
    <t>Bonekamp, H; Sterl, A; Komen, GJ</t>
  </si>
  <si>
    <t>Interannual variability in the Southern Ocean from an ocean model forced by European Centre for Medium-Range Weather Forecasts reanalysis fluxes</t>
  </si>
  <si>
    <t>ANTARCTIC CIRCUMPOLAR WAVE; MEAN CIRCULATION; WIND</t>
  </si>
  <si>
    <t>Anomaly patterns in the Southern Ocean in response to variability in the atmospheric forcing are investigated. To this end we forced the Hamburg large-scale geostrophic ocean general circulation model with surface fluxes from the European Centre for Medium-Range Weather Forecasts reanalysis (ERA). ERA covers the period January 1979 through February 1994. First, the atmospheric variability of sea level pressure and the associated wind stress anomalies within the ERA data set are analyzed. An Antarctic Circumpolar Wave type pattern is identified. In the ocean response, sea water temperature and salinity anomalies are found to vary with similar periods. The anomalies advect with the Antarctic Circumpolar Current. High amplitudes occur in the southeast Indian and Pacific Oceans. Sensitivity studies are made, pinning down wind stress and heat flux as the dominant factors generating these anomalies. The oceanic interannual variations are explained in terms of enhanced oceanic convection resulting from anomalous Ekman pumping and anomalous heat fluxes, both operating in a standing pattern dominated by wavenumbers 2 and 3.</t>
  </si>
  <si>
    <t>Royal Netherlands Meteorol Inst, NL-3730 AE De Bilt, Netherlands</t>
  </si>
  <si>
    <t>Royal Netherlands Meteorological Institute</t>
  </si>
  <si>
    <t>Royal Netherlands Meteorol Inst, POB 201, NL-3730 AE De Bilt, Netherlands.</t>
  </si>
  <si>
    <t>bonekamp@knmi.nl</t>
  </si>
  <si>
    <t>Sterl, Andreas/AAE-7174-2020</t>
  </si>
  <si>
    <t>Sterl, Andreas/0000-0003-3457-0434</t>
  </si>
  <si>
    <t>10.1029/1999JC900052</t>
  </si>
  <si>
    <t>WOS:000080914900005</t>
  </si>
  <si>
    <t>Boyd, P; LaRoche, J; Gall, M; Frew, R; McKay, RML</t>
  </si>
  <si>
    <t>Role of iron, light, and silicate in controlling algal biomass in subantarctic waters SE of New Zealand</t>
  </si>
  <si>
    <t>EQUATORIAL PACIFIC-OCEAN; SUB-ANTARCTIC REGION; SUBTROPICAL CONVERGENCE; SOUTHERN-OCEAN; MARINE-PHYTOPLANKTON; EXPORT PRODUCTION; ATLANTIC SECTOR; ARCTIC PACIFIC; IN-SITU; DIATOMS</t>
  </si>
  <si>
    <t>Phytoplankton processes in subantarctic (SA) waters southeast of New Zealand were studied during austral autumn and spring 1997. Chlorophyll a (0.2-0.3 mu g L-l) and primary production (350-650 mg C m(-2) d(-1)) were dominated by cells &lt;2 mu m (cyanobacteria) in both seasons. The photochemical efficiency of photosystem II (F-v/F-m) of cells was low (0.3), indicating physiological stress. Dissolved Fe (DFe) levels in surface waters were subnanomolar, and the molecular marker flavodoxin indicated that cells were iron stressed. In contrast, Subtropical Convergence (STC) and subtropical waters had higher algal biomass/production levels, particularly in spring. In these waters, DFe levels were &gt;1 nmol kg(-1), there was little evidence of Fe-stressed algal populations, and F-v/F-m approached 0.60 at the STC. In addition to these trends, waters of SA origin were occasionally observed within the STC and north of the STC, and thus survey data were interpreted with caution. In vitro Fe enrichment incubations in SA waters resulted in a switch from flavodoxin expression to that of ferredoxin, indicating the alleviation of Fe stress. In another 6-day experiment, iron-mediated increases in chlorophyll a (in particular, increases in large diatoms) were of similar magnitude to those observed in a concurrent Si/Fe enrichment; ambient silicate levels were 4 mu M. A concurrent in vitro Fe enrichment, at irradiance levels comparable to the calculated mean levels experienced by cells in situ, resulted in relatively small increases (approximately twofold) in chlorophyll a. Thus, in spring, irradiance and Fe may both control diatom growth. In contrast: during summer, as mean irradiance increases and silicate levels decrease, Fe limitation, Fe/Si colimitation, or silicate limitation may determine diatom growth.</t>
  </si>
  <si>
    <t>Univ Otago, Dept Chem, Ctr Chem &amp; Phys Oceanog, Natl Inst Water &amp; Atmospher Res, Dunedin, New Zealand; Brookhaven Natl Lab, Div Oceanog &amp; Atmospher Sci, Upton, NY 11973 USA; Bowling Green State Univ, Dept Biol Sci, Bowling Green, OH 43403 USA; Natl Inst Water &amp; Atmospher Res, Christchurch, New Zealand</t>
  </si>
  <si>
    <t>University of Otago; National Institute of Water &amp; Atmospheric Research (NIWA) - New Zealand; United States Department of Energy (DOE); Brookhaven National Laboratory; University System of Ohio; Bowling Green State University; National Institute of Water &amp; Atmospheric Research (NIWA) - New Zealand</t>
  </si>
  <si>
    <t>Univ Otago, Dept Chem, Ctr Chem Oceanog, NIWA, POB 56, Dunedin, New Zealand.</t>
  </si>
  <si>
    <t>pboyd@alkali.otago.ac.nz; rfrew@alkali.otago.ac.nz</t>
  </si>
  <si>
    <t>Frew, Russell/HDN-6138-2022; LaRoche, Julie/A-1109-2010; McKay, Robert Michael/P-3759-2017; Frew, Russell/I-5591-2012; Boyd, Philip/J-7624-2014</t>
  </si>
  <si>
    <t>McKay, Robert Michael/0000-0003-2723-5371; Frew, Russell/0000-0002-6138-2116; Boyd, Philip/0000-0001-7850-1911; LaRoche, Julie/0000-0003-4809-6411</t>
  </si>
  <si>
    <t>10.1029/1999JC900009</t>
  </si>
  <si>
    <t>Green Published, Green Accepted</t>
  </si>
  <si>
    <t>WOS:000080914900010</t>
  </si>
  <si>
    <t>Makinson, K; Nicholls, KW</t>
  </si>
  <si>
    <t>Modeling tidal currents beneath Filchner-Ronne Ice Shelf and on the adjacent continental shelf: their effect on mixing and transport</t>
  </si>
  <si>
    <t>SOUTHERN WEDDELL SEA; OCEAN CIRCULATION BENEATH; THERMOHALINE CIRCULATION; TIDES; ANTARCTICA; WAVES</t>
  </si>
  <si>
    <t>A depth-averaged tidal model has been applied to the southern Weddell Sea. The model domain covers the southern continental shelf, including the ocean cavity beneath Filchner-Ronne Ice Shelf. Reasonable agreement with the available current meter data has been achieved. Our results confirm that in areas with shallow water and large topographic gradients, tidal oscillations with peak velocities up to 1 m s(-1) play a significant role in the vertical mixing and transport of water masses. The estimated energy dissipation beneath Filchner-Ronne Ice Shelf due to surface friction is 25 GW, approximately 1% of the world's total tidal dissipation. Tidally induced Lagrangian residual currents converging at the ice front, an area of strong mixing, draw together water masses from the continental shelf and sub-ice shelf cavity. The model indicates that Lagrangian residual currents have fluxes of up to 250,000 m(3) s(-1), and speeds of over 5 cm s(-1) along the ice front, with over 350,000 m(3) s(-1) being exchanged between the sub-ice shelf cavity and adjacent continental shelf. These currents are particularly efficient in ventilating the sub-ice shelf cavity within 150 km of Ronne Ice Front. Such strong tidal mixing will significantly modify the properties of water masses that flow through this region, particularly to the west of Berkner Island. The model predictions indicate that tidal processes strongly influence the oceanographic conditions in the vicinity of Ronne Ice Front. Shipborne observations along the ice front support many of the model predictions concerning the effect of tides on the hydrography.</t>
  </si>
  <si>
    <t>Makinson, Keith/A-2495-2013; N, Keith/E-9126-2010</t>
  </si>
  <si>
    <t>Makinson, Keith/0000-0002-5791-1767;</t>
  </si>
  <si>
    <t>10.1029/1999JC900008</t>
  </si>
  <si>
    <t>WOS:000080914900014</t>
  </si>
  <si>
    <t>Adolphs, U</t>
  </si>
  <si>
    <t>Representativity analysis and statistical modeling of snow and ice thickness data sets from the southern polar Pacific Ocean</t>
  </si>
  <si>
    <t>SEA-ICE; WINTER</t>
  </si>
  <si>
    <t>Data sets of sea ice and snow thickness, acquired as drilling profiles and shipboard observations during three Antarctic expeditions in the Ross, Amundsen and Bellingshausen Seas are studied with respect to their statistical robustness towards weed-out, sectional, and random subsampling. For individual profiles of the drilling data the resulting subsampling errors, associated with the means and standard deviations of ice and snow thicknesses, and freeboard were generally smallest for the weed-out method where the spacing between drilling points was increased, while the profile length was unchanged. On the cruise level, flee drilling data and shipboard observations (consisting of individual sets of 25 single observations) were subsampled by picking every nth flee (or observation set). Up to n = 3, subsampling errors were negligible against the inherent errors of the full data sets. The effects of subsampling depend on the measured probability density functions (PDFs) of the full data sets whose statistical properties are studied in the section 2. It was found that lognormal or gamma distributions are better statistical representations for both drilling and shipboard data than normal distributions. A simple statistical ice thickness model is presented, which explains how different ice growth and development processes influence the shape of the ice thickness PDF. Appropriate choices of the parameters, consistent with cruise dates and observational evidence of ice deformation, give good representations of the measured ice thickness PDFs for the three cruises.</t>
  </si>
  <si>
    <t>Univ Alaska, Inst Geophys, Fairbanks, AK 99701 USA</t>
  </si>
  <si>
    <t>University of Alaska System; University of Alaska Fairbanks</t>
  </si>
  <si>
    <t>Weissenburger Pl 6B, D-81667 Munich, Germany.</t>
  </si>
  <si>
    <t>uadolphs@t-online.de</t>
  </si>
  <si>
    <t>10.1029/1998JC900125</t>
  </si>
  <si>
    <t>WOS:000080914900025</t>
  </si>
  <si>
    <t>Goosse, H; Deleersnijder, E; Fichefet, T; England, MH</t>
  </si>
  <si>
    <t>Sensitivity of a global coupled ocean-sea ice model to the parameterization of vertical mixing</t>
  </si>
  <si>
    <t>GENERAL-CIRCULATION MODEL; TROPICAL ATLANTIC-OCEAN; MIXED-LAYER; WORLD OCEAN; BOUNDARY-LAYER; NORTHERN HEMISPHERE; COORDINATE MODEL; CLIMATE-CHANGE; PACIFIC-OCEAN; HEAT-FLUX</t>
  </si>
  <si>
    <t>Three numerical experiments have been carried out with a global coupled ice-ocean model to investigate its sensitivity to the treatment of vertical mixing in the upper ocean. In the first experiment, a widely used fixed profile of vertical diffusivity and viscosity is imposed, with large values in the upper 50 m to crudely represent wind-driven mixing. In the second experiment, the eddy coefficients are functions of the Richardson number, and, in the third case, a relatively sophisticated parameterization, based on the turbulence closure scheme of Mellor and Yamada version 2.5, is introduced. We monitor the way the different mixing schemes affect the simulated ocean ventilation, water mass properties, and sea ice distributions. CFC uptake is also diagnosed in the model experiments. The simulation of the mixed layer depth is improved in the experiment which includes the sophisticated turbulence closure scheme. This results in a good representation of the upper ocean thermohaline structure and in heat exchange with the atmosphere within the range of current estimates. However, the en or in heat flux in the experiment with simple fixed vertical mixing coefficients can be as high as 50 W m(-2) in zonal mean during summer. Using CFC tracers allows us to demonstrate that the ventilation of the deep ocean is not significantly influenced by the paramertization of vertical mixing in the upper ocean. The only exception is the Southern Ocean. There, the ventilation is tao strong in all three experiments. However, modifications of the vertical diffusivity and, surprisingly, the vertical viscosity significantly affect the stability of the water column in this region through their influence on upper ocean salinity, resulting in a more realistic Southern Ocean circulation. The turbulence scheme also results in an improved simulation of Antarctic sea ice coverage . This is due to to a better simulation of the mixed layer depth and thus of heat exchanges between ice and ocean. The large-scale mean summer ice-ocean heat flux can vary by more than 15% between the three experiments. Because of this influence of vertical mixing on Southern Ocean ventilation, sea ice extent, and ocean-atmosphere heat fluxes, we recommend that global climate models adopt a sufficiently realistic representation of vertical mixing in the ocean.</t>
  </si>
  <si>
    <t>Catholic Univ Louvain, Inst Astron &amp; Geophys G Lemaitre, ASTR, B-1348 Louvain, Belgium; Univ New S Wales, Sch Math, CEMAP, Sydney, NSW 2053, Australia</t>
  </si>
  <si>
    <t>Universite Catholique Louvain; University of New South Wales Sydney</t>
  </si>
  <si>
    <t>Catholic Univ Louvain, Inst Astron &amp; Geophys G Lemaitre, ASTR, 2 Chemin Cyclotron, B-1348 Louvain, Belgium.</t>
  </si>
  <si>
    <t>England, Matthew/A-7539-2011; Deleersnijder, Eric/AAE-7020-2020</t>
  </si>
  <si>
    <t>England, Matthew/0000-0001-9696-2930; Deleersnijder, Eric/0000-0003-0346-9667</t>
  </si>
  <si>
    <t>10.1029/1999JC900099</t>
  </si>
  <si>
    <t>WOS:000080914900029</t>
  </si>
  <si>
    <t>Shindell, DT; Rind, D; Balachandran, N</t>
  </si>
  <si>
    <t>Interannual variability of the Antarctic ozone hole in a GCM. Part II: A comparison of unforced and QBO-induced variability</t>
  </si>
  <si>
    <t>JOURNAL OF THE ATMOSPHERIC SCIENCES</t>
  </si>
  <si>
    <t>QUASI-BIENNIAL OSCILLATION; NORTHERN-HEMISPHERE WINTER; GROUND-BASED OBSERVATIONS; MIDDLE ATMOSPHERE MODEL; PLANETARY-WAVES; CLIMATE-CHANGE; CIRCULATION; DEPLETION; STRATOSPHERE; MODULATION</t>
  </si>
  <si>
    <t>Simulations were performed with the Goddard Institute for Space Studies GCM including a prescribed quasibiennial oscillation (QBO), applied at a constant maximum value, and a physically realistic parameterization of the heterogeneous chemistry responsible for severe polar ozone loss. While the QBO is primarily a stratospheric phenomenon, in this model the QBO modulates the amount and propagation of planetary wave energy in the troposphere as well as in the stratosphere. Dynamical activity is greater in the easterly than in the unforced case. while westerly years are dynamically more quiescent. By altering zonal winds and potential vorticity, the QBO forcing changes the refraction of planetary waves beginning in midwinter, causing the lower-stratospheric zonal average temperatures at Southern Hemisphere high latitudes to be similar to 3-5 K warmer in the easterly phase than in the westerly during the late winter and early spring. Ozone loss varies nonlinearly with temperature, due to the sharp threshold for formation of heterogeneous chemistry surfaces, so that the mean daily total mass of ozone depleted in this region during September was 8.7 X 10(10) kg in the QBO easterly maximum, as compared with 12.0 X 10(10) kg; in the westerly maximum and 10.3 x 10(10) kp in the unforced case. Through this mechanism, the midwinter divergence of the Eliassen-Palm flux is well correlated with the subsequent springtime total ozone loss (R-2: = 0.6). The chemical ozone loss differences are much larger than QBO-induced transport differences in our model. Inclusion of the QBO forcing also increased the maximum variability in total ozone loss from the similar to 20% value found in the unforced runs to similar to 50%. These large variations in ozone depletion are very similar in size to the largest observed variations in the severity of the ozone hole. The results suggest that both random variability and periodic QBO forcing are important components, perhaps explaining some of the difficulties encountered in previous attempts to correlate the severity of the ozone hole with the QBO phase.</t>
  </si>
  <si>
    <t>Columbia Univ, NASA, Goddard Inst Space Studies, New York, NY 10025 USA; Columbia Univ, Ctr Climate Syst Res, New York, NY 10025 USA</t>
  </si>
  <si>
    <t>Columbia University; National Aeronautics &amp; Space Administration (NASA); NASA Goddard Space Flight Center; Goddard Institute for Space Studies; Columbia University</t>
  </si>
  <si>
    <t>Shindell, DT (corresponding author), Columbia Univ, NASA, Goddard Inst Space Studies, 2880 Broadway, New York, NY 10025 USA.</t>
  </si>
  <si>
    <t>Shindell, Drew/D-4636-2012; Wong, Sun/AAG-8757-2020</t>
  </si>
  <si>
    <t>Shindell, Drew/0000-0003-1552-4715;</t>
  </si>
  <si>
    <t>0022-4928</t>
  </si>
  <si>
    <t>J ATMOS SCI</t>
  </si>
  <si>
    <t>J. Atmos. Sci.</t>
  </si>
  <si>
    <t>10.1175/1520-0469(1999)056&lt;1873:IVOTAO&gt;2.0.CO;2</t>
  </si>
  <si>
    <t>210ZR</t>
  </si>
  <si>
    <t>WOS:000081135900007</t>
  </si>
  <si>
    <t>Kinnersley, JS; Tung, KK</t>
  </si>
  <si>
    <t>Mechanisms for the extratropical QBO in circulation and ozone</t>
  </si>
  <si>
    <t>QUASI-BIENNIAL OSCILLATION; ZONALLY AVERAGED CIRCULATION; INTERANNUAL VARIABILITY; NONGEOSTROPHIC THEORY; LOWER STRATOSPHERE; DIMENSIONAL MODEL; ANTARCTIC OZONE; GLOBAL QBO; CYCLE; WAVE</t>
  </si>
  <si>
    <t>A two-and-a-half-dimensional interactive stratospheric model(i.e., a zonally averaged dynamical-chemical model combined with a truncated spectral dynamical model), whose equatorial zonal wind was relaxed toward the observed Singapore zonal wind, was able to reproduce much of the observed quasi-biennial oscillation (QBO) variability in the column ozone, in its vertical distribution in the low and middle latitudes, and also in the high southern polar latitudes. To reveal the mechanisms responsible for producing the modeled QBO signal over the globe,,several control runs were also performed. The authors find that the ozone variability in the lower stratosphere-and hence also in the column -is determined mainly by two dynamical mechanisms. In the low to midlatitudes it is created by a direct QBO circulation. Unlike the classic picture of a nonseasonal two-cell QBO circulation symmetric about the equator, a more correct picture is a direct QBO circulation that is strongly seasonal, driven by the seasonality in diabatic heating, which is very weak in the summer hemisphere and strong in the winter hemisphere at low and midlatitudes. This anomalous circulation is what is responsible for creating the ozone anomaly at low and midlatitudes. Transport by the climatological circulation and diffusion is found to be ineffective. At high latitudes, there is again a circulation anomaly, but here it is induced by the modulation of the planetary wave potential vorticity Aux by the QBO. This so-called Holton-Tan mechanism is responsible for mosi of the QBO ozone signal poleward of 60 degrees During spring in the modeled northern polar region, chaotic behavior is another important source of interannual variability, in addition to the interannual variability of planetary wave sources in the troposphere previously studied by the authors.</t>
  </si>
  <si>
    <t>Univ Washington, Dept Appl Math, Seattle, WA 98195 USA</t>
  </si>
  <si>
    <t>University of Washington; University of Washington Seattle</t>
  </si>
  <si>
    <t>Kinnersley, JS (corresponding author), Univ Washington, Dept Appl Math, Box 352420, Seattle, WA 98195 USA.</t>
  </si>
  <si>
    <t>Tung, Ka-Kit/0000-0001-8667-7167</t>
  </si>
  <si>
    <t>10.1175/1520-0469(1999)056&lt;1942:MFTEQI&gt;2.0.CO;2</t>
  </si>
  <si>
    <t>WOS:000081135900011</t>
  </si>
  <si>
    <t>Aguirre-Urreta, MB; Concheyro, A; Lorenzo, M; Ottone, EG; Rawson, PF</t>
  </si>
  <si>
    <t>Advances in the biostratigraphy of the Agrio Formation (Lower Cretaceous) of the Neuquen Basin, Argentina: ammonites, palynomorphs, and calcareous nannofossils</t>
  </si>
  <si>
    <t>Joint International Symposium of IGCP 350 on Cretaceous Environmental Change in East and South Asia/IGCP 362 on Tethyan and Boreal Cretaceous, at the 30th IGC</t>
  </si>
  <si>
    <t>AUG 03-08, 1996</t>
  </si>
  <si>
    <t>BEIJING, PEOPLES R CHINA</t>
  </si>
  <si>
    <t>biostratigraphy; Hauterivian; Neuquen Basin; Argentina; ammonites; palynomorphs; calcareous nannofossils</t>
  </si>
  <si>
    <t>ANTARCTIC PENINSULA; SOUTH-AMERICA</t>
  </si>
  <si>
    <t>Detailed stratigraphic logging and systematic studies on late Valanginian-early Barremian ammonites from the Agrio Formation of the Neuquen Basin of west-central Argentina, have provided a detailed local ammonite zonation. Here we combine the ammonite data with an initial study of calcareous nannofossils and palynomorphs from two sections to produce a provisional integrated biostratigraphy for the Agrio Formation. While the palynomorphs are essentially of local value only, especially the continental forms, the nannofossils and the ammonites allow some correlations to be made with the European Mediterranean 'standard' sequences. (C) 1999 Elsevier Science B.V. All rights reserved.</t>
  </si>
  <si>
    <t>Univ Buenos Aires, Dept Geol Sci, RA-1428 Buenos Aires, DF, Argentina; UCL, Dept Geol Sci, London WC1E 6BT, England</t>
  </si>
  <si>
    <t>University of Buenos Aires; University of London; University College London</t>
  </si>
  <si>
    <t>Univ Buenos Aires, Dept Geol Sci, Ciudad Univ, RA-1428 Buenos Aires, DF, Argentina.</t>
  </si>
  <si>
    <t>aguirre@gl.fcen.uba.ar</t>
  </si>
  <si>
    <t>Lorenzo, Manuel M Ferraz/K-5890-2014</t>
  </si>
  <si>
    <t>10.1016/S0031-0182(99)00006-1</t>
  </si>
  <si>
    <t>209RG</t>
  </si>
  <si>
    <t>WOS:000081062000005</t>
  </si>
  <si>
    <t>Harasewych, MG; Kantor, YI</t>
  </si>
  <si>
    <t>A revision of the antarctic genus Chlanidota (Gastropoda: Neogastropoda: Buccinulidae)</t>
  </si>
  <si>
    <t>PROCEEDINGS OF THE BIOLOGICAL SOCIETY OF WASHINGTON</t>
  </si>
  <si>
    <t>The genus Chlanidota is revised to contain two subgenera, Chlanidota sensu stricto and Chlanidota (Pfefferia). Chlanidota s.s. has a broad distribution throughout the Antarctic region, and contains five species: Chlanidota (Chlanidota) vestita (Martens, 1881), C. (C.) densesculpta (Martens, 1885), C. (C.) paucispiralis Powell, 1951, C. (C.) pilosa Powell, 1951, and C. (C.) signeyana Powell, 1951. The subgenus Pfefferia, which differs from Chlanidota primarily in the morphology of its operculum, is endemic to South Georgia Island, and is known from three species: Chlanidota (Pfefferia) chordata (Strebel, 1908), C. (P.) palliata (Strebel, 1908), C. (P.) invenusta, new species. With its bulliform shell lacking a siphonal canal, the monotypic, circum-Antarctic genus Neobuccinum is conjectured to be the sister taxon of Chlanidota, but is readily distinguished by its smoother, higher-spired shell, radula in which the central cusp of the lateral teeth is medially placed, and a penis lacking a papilla.</t>
  </si>
  <si>
    <t>Smithsonian Inst, Natl Museum Nat Hist, Dept Invertebrate Zool, Washington, DC 20560 USA; Russian Acad Sci, Severtsov Inst, Moscow 117071, Russia</t>
  </si>
  <si>
    <t>Smithsonian Institution; Smithsonian National Museum of Natural History; Russian Academy of Sciences; Saratov Scientific Center of the Russian Academy of Sciences; Severtsov Institute of Ecology &amp; Evolution</t>
  </si>
  <si>
    <t>Harasewych, MG (corresponding author), Smithsonian Inst, Natl Museum Nat Hist, Dept Invertebrate Zool, Washington, DC 20560 USA.</t>
  </si>
  <si>
    <t>Kantor, Yuri/HKW-8238-2023; Kantor, Yuri/D-5259-2014</t>
  </si>
  <si>
    <t>Kantor, Yuri/0000-0002-3209-4940; Kantor, Yuri/0000-0002-3209-4940</t>
  </si>
  <si>
    <t>BIOL SOC WASHINGTON</t>
  </si>
  <si>
    <t>NAT MUSEUM NAT HIST SMITHSONIAN INST, WASHINGTON, DC 20560 USA</t>
  </si>
  <si>
    <t>0006-324X</t>
  </si>
  <si>
    <t>P BIOL SOC WASH</t>
  </si>
  <si>
    <t>Proc. Biol. Soc. Wash.</t>
  </si>
  <si>
    <t>209KC</t>
  </si>
  <si>
    <t>WOS:000081045900001</t>
  </si>
  <si>
    <t>Blazewicz, M; Heard, RW</t>
  </si>
  <si>
    <t>First record of the family Gynodiastylidae Stebbing, 1912 (Crustacea: Malacostraca: Cumacea) from Antarctic waters with the description of Gynodiastylis jazdzewskii, a new species</t>
  </si>
  <si>
    <t>An adult male of an undescribed gynodiastylid cumacean was collected in a Menzies trawl sample taken at a depth of between 388 and 399 m in the Ross Sea (76 degrees 01.5'-76 degrees 01.0'S, 179 degrees 49.9'-179 degrees 52.3' E) during February 1972. The specimen, which had lost its third maxillipeds and the last four articles of the first pereopods, is placed in the genus Gynodiastylis Calman, 1911. Gynodiastylis jazdzewskii, new species, the first member of its family reported from Antarctic waters, can be distinguished from the 59 previously described species of Gynodiastylis and members of the other five gynodiastylid genera by a combination of characters, including the finer, more irregularly wavy, longitudinal ridges, and the length and setation of the telson, on the carapace, the shape and terminal setation of the telson, the length of telson in relation to that of the last abdominal somite and uropodal peduncles, and the setation and relative length of the uropodal rami.</t>
  </si>
  <si>
    <t>Univ Lodz, Dept Invertebrate Zool &amp; Hydrobiol, Lab Polar Biol &amp; Oceanobiol, PL-90237 Lodz, Poland; Univ So Mississippi, Inst Marine Sci, Gulf Coast Res Lab, Ocean Springs, MS 39566 USA</t>
  </si>
  <si>
    <t>University of Lodz; University of Southern Mississippi</t>
  </si>
  <si>
    <t>Blazewicz, M (corresponding author), Univ Lodz, Dept Invertebrate Zool &amp; Hydrobiol, Lab Polar Biol &amp; Oceanobiol, S Banacha Str 12-16, PL-90237 Lodz, Poland.</t>
  </si>
  <si>
    <t>Błażewicz, Magdalena/J-5175-2017</t>
  </si>
  <si>
    <t>Blazewicz, Magdalena/0000-0002-4753-3424</t>
  </si>
  <si>
    <t>WOS:000081045900008</t>
  </si>
  <si>
    <t>Fujita, S; Maeno, H; Uratsuka, S; Furukawa, T; Mae, S; Fujii, Y; Watanabe, O</t>
  </si>
  <si>
    <t>Nature of radio echo layering in the Antarctic ice sheet detected by a two-frequency experiment</t>
  </si>
  <si>
    <t>DIELECTRIC-PROPERTIES; INTERNAL LAYERS; FLOW LAW; MICROWAVE; CORES; REFLECTIONS; DEFORMATION; DENSITY; ACID; GHZ</t>
  </si>
  <si>
    <t>A two-frequency radio echo sounding experiment was carried out at Dome Fuji, the second highest dome in East Antarctica, and along a 1150-km-long traverse line from the dome to the coast. The goal was to determine the dominant causes of the radio echo internal reflections and to investigate their possible changes with depth ranges and regions. From the two-frequency (60 MHz and 179 MHz) radio echo responses at various sites, we distinguished four zones. Each of the zones is characterized by a dominant cause of radio echo internal reflection as follows. In the P-D zone, changes in dielectric permittivity are mainly due to density fluctuations; in the P-COF zone, changes in dielectric permittivity are mainly due to changes in crystal-orientation fabrics; and in the C-A zone, changes in electrical conductivity are mainly due to changes in acidity induced by past volcanic eruptions. In each of these three zones, the changes occur commonly along isochrones. In addition, a basal echo-free zone, the fourth zone, was found to appear always below the P-COF zone. These four zones and their distribution suggested variations of the physical conditions within the ice sheet.</t>
  </si>
  <si>
    <t>Hokkaido Univ, Fac Engn, Dept Appl Phys, Sapporo, Hokkaido 0608628, Japan; Natl Inst Polar Res, Itabashi Ku, Tokyo 1738515, Japan; Minist Post, Commun Res Lab, Tokyo 1840015, Japan</t>
  </si>
  <si>
    <t>Hokkaido University; Research Organization of Information &amp; Systems (ROIS); National Institute of Polar Research (NIPR) - Japan; National Institute of Information &amp; Communications Technology (NICT) - Japan</t>
  </si>
  <si>
    <t>Hokkaido Univ, Fac Engn, Dept Appl Phys, Sapporo, Hokkaido 0608628, Japan.</t>
  </si>
  <si>
    <t>sfujita@nd-ap.eng.hokudai.ac.jp; maeno@crl.go.jp; pata@crl.go.jp; furukawa@nipr.ac.jp; mae@nd-ap.eng.hokudai.ac.jp; fujii@pmg.nipr.ac.jp; watanabe@nipr.ac.jp</t>
  </si>
  <si>
    <t>Fujita, Shuji/A-7884-2016</t>
  </si>
  <si>
    <t>Fujita, Shuji/0000-0003-0127-0777</t>
  </si>
  <si>
    <t>JUN 10</t>
  </si>
  <si>
    <t>B6</t>
  </si>
  <si>
    <t>10.1029/1999JB900034</t>
  </si>
  <si>
    <t>205GM</t>
  </si>
  <si>
    <t>WOS:000080813000019</t>
  </si>
  <si>
    <t>Raban, J</t>
  </si>
  <si>
    <t>The Endurance: Shackleton's legendary Antarctic expedition</t>
  </si>
  <si>
    <t>NEW YORK REVIEW OF BOOKS</t>
  </si>
  <si>
    <t>NEW YORK REVIEW</t>
  </si>
  <si>
    <t>250 WEST 57TH ST, NEW YORK, NY 10107 USA</t>
  </si>
  <si>
    <t>0028-7504</t>
  </si>
  <si>
    <t>NEW YORK REV BOOKS</t>
  </si>
  <si>
    <t>N. Y. Rev. Books</t>
  </si>
  <si>
    <t>+</t>
  </si>
  <si>
    <t>198JF</t>
  </si>
  <si>
    <t>WOS:000080419800004</t>
  </si>
  <si>
    <t>Siebers, R; Weinstein, P; Fitzharris, P; Crane, J</t>
  </si>
  <si>
    <t>House-dust mite and cat allergens in the Antarctic</t>
  </si>
  <si>
    <t>LANCET</t>
  </si>
  <si>
    <t>Wellington Sch Med, Wellington Asthma Res Grp, Wellington S, New Zealand; Wellington Sch Med, Dept Publ Hlth, Wellington S, New Zealand</t>
  </si>
  <si>
    <t>Siebers, R (corresponding author), Wellington Sch Med, Wellington Asthma Res Grp, POB 7343, Wellington S, New Zealand.</t>
  </si>
  <si>
    <t>Siebers, Robert/A-4102-2009; Weinstein, Phil/C-9805-2011</t>
  </si>
  <si>
    <t>Siebers, Robert/0000-0002-6359-3144; Weinstein, Philip/0000-0001-9860-7166</t>
  </si>
  <si>
    <t>LANCET LTD</t>
  </si>
  <si>
    <t>0140-6736</t>
  </si>
  <si>
    <t>Lancet</t>
  </si>
  <si>
    <t>JUN 5</t>
  </si>
  <si>
    <t>10.1016/S0140-6736(99)00823-5</t>
  </si>
  <si>
    <t>Medicine, General &amp; Internal</t>
  </si>
  <si>
    <t>General &amp; Internal Medicine</t>
  </si>
  <si>
    <t>202TP</t>
  </si>
  <si>
    <t>WOS:000080668500024</t>
  </si>
  <si>
    <t>Petit, JR; Jouzel, J; Raynaud, D; Barkov, NI; Barnola, JM; Basile, I; Bender, M; Chappellaz, J; Davis, M; Delaygue, G; Delmotte, M; Kotlyakov, VM; Legrand, M; Lipenkov, VY; Lorius, C; Pépin, L; Ritz, C; Saltzman, E; Stievenard, M</t>
  </si>
  <si>
    <t>Climate and atmospheric history of the past 420,000 years from the Vostok ice core, Antarctica</t>
  </si>
  <si>
    <t>LAST GLACIAL PERIOD; EAST ANTARCTICA; NORTH-ATLANTIC; GREENLAND CLIMATE; RECORD; CO2; FUTURE; DUST; AGE; SENSITIVITY</t>
  </si>
  <si>
    <t>The recent completion of drilling at Vostok station in East Antarctica has allowed the extension of the ice record of atmospheric composition and climate to the past four glacial-interglacial cycles. The succession of changes through each climate cycle and termination was similar, and atmospheric;and climate properties oscillated between stable bounds. Interglacial periods differed in temporal evolution and duration. Atmospheric: concentrations of carbon dioxide and methane correlate well with Antarctic air-temperature throughout the record. Present-day atmospheric burdens of these two important greenhouse gases seem to have been unprecedented during the past 420,000 years.</t>
  </si>
  <si>
    <t>Lab Glaciol &amp; Geophys Environm, CNRS, F-38402 St Martin Dheres, France; CEA Saclay, Lab Sci Climat &amp; Environm, CNRS, UMR 1572, F-91191 Gif Sur Yvette, France; Arctic &amp; Antarctic Res Inst, St Petersburg 199397, Russia; Princeton Univ, Dept Geosci, Princeton, NJ 08544 USA; Univ Miami, Rosenstiel Sch Marine &amp; Atmospher Sci, Miami, FL 33149 USA; Russian Acad Sci, Inst Geog, Moscow 109017, Russia</t>
  </si>
  <si>
    <t>Centre National de la Recherche Scientifique (CNRS); Universite Paris Saclay; CEA; Centre National de la Recherche Scientifique (CNRS); Arctic &amp; Antarctic Research Institute; Princeton University; University of Miami; Institute of Geography, Russian Academy of Sciences; Russian Academy of Sciences</t>
  </si>
  <si>
    <t>Petit, JR (corresponding author), Lab Glaciol &amp; Geophys Environm, CNRS, PB96, F-38402 St Martin Dheres, France.</t>
  </si>
  <si>
    <t>Raynaud, Dominique/H-9626-2016; Chappellaz, Jérôme A./A-4872-2011; Basile, Isabelle IBD/B-4173-2010; raynaud, dominique/ABG-4718-2020; Legrand, Michel/AAU-4678-2020; Lipenkov, Vladimir/Q-8262-2016</t>
  </si>
  <si>
    <t>Ritz, Catherine/0000-0003-0785-8571; Lipenkov, Vladimir/0000-0003-4221-5440</t>
  </si>
  <si>
    <t>JUN 3</t>
  </si>
  <si>
    <t>10.1038/20859</t>
  </si>
  <si>
    <t>202TH</t>
  </si>
  <si>
    <t>WOS:000080667900038</t>
  </si>
  <si>
    <t>Alguacil, G; Almendros, JC; Del Pezzo, E; Garcia, A; Ibañez, JM; La Rocca, M; Morales, J; Ortiz, R</t>
  </si>
  <si>
    <t>Observations of volcanic earthquakes and tremor at Deception Island -: Antarctica</t>
  </si>
  <si>
    <t>volcanic earthquakes; tremor; Antarctica</t>
  </si>
  <si>
    <t>SOUTH-SHETLAND ISLANDS; REDOUBT-VOLCANO; ARRAY; ALASKA</t>
  </si>
  <si>
    <t>Deception Island - South Shetlands, Antarctica is site of active volcanism. Since 1988 field surveys have been carried out with the aim of seismic monitoring, and in 1994 a seismic array was set up near the site of the Spanish summer base in order to better constrain the source location and spectral properties of the seismic events related to the volcanic activity. The array was maintained during the Antarctic summer of 1995 and the last field survey was carried out in 1996. Data show the existence of three different groups (or families) of seismic events: 1) long period events, with a quasi-monochromatic spectral content (1-3 Hz peak frequency) and a duration of more than 50 s, often occurring in small swarms lasting from several minutes to some day; 2) volcanic tremor, with a spectral shape similar to the long period events but with a duration of several minutes (2-10); 3) hybrid events, with a waveform characterised by the presence of a high frequency initial phase, followed by a low frequency phase with characteristics similar to those of the long period events. The high frequency phase of the hybrid events was analysed using polarisation techniques, showing the presence of P waves. This phase is presumably located at short epicentral distances and shallow source depth. All the analysed seismic events show back-azimuths between 120 and 330 degrees from north (corresponding to zones of volcanic activity) showing no seismic activity in the middle of the caldera. Particle motion, Fourier spectral and spectrogram analysis show that the low frequency part of the three groups of the seismic signals have similar patterns. Moreover careful observations show that the high frequency phase which characterises the hybrid events is present in the long period and in the tremor events, even with lower signal to noise ratios. This evidence suggests that long period events are events in which the high frequency part is simply difficult to observe, due to a very shallow source and/or hypocentral distance higher than that of hybrids, while the tremor is composed of rapidly occurring hybrid events. We propose a possible interpretation for the three groups of seismic events. These may be generated by multiple pressure steps due to the rapid phase change from liquid to vapour in a shallow aquifer which comes in contact with hot materials. The pressure change can put a crack in resonance or excite the generation of multiple surface waves modes in the shallow layered structure.</t>
  </si>
  <si>
    <t>Osservatorio Vesuviano, Ctr Sorveglianza, I-80123 Naples, Italy; Univ Salerno, Dipartimento Fis, I-84081 Baronissi, SA, Italy; CSIC, Museo Nacl Hist Nat, Madrid, Spain; Univ Granada, Inst Andaluz Geofis, E-18071 Granada, Spain</t>
  </si>
  <si>
    <t>Istituto Nazionale Geofisica e Vulcanologia (INGV); University of Salerno; Consejo Superior de Investigaciones Cientificas (CSIC); University of Granada</t>
  </si>
  <si>
    <t>Del Pezzo, E (corresponding author), Osservatorio Vesuviano, Ctr Sorveglianza, Via A Manzoni 249, I-80123 Naples, Italy.</t>
  </si>
  <si>
    <t>Almendros, Javier/M-2468-2014; Del Pezzo, Edoardo/CAJ-4984-2022; Morales, Jose/M-3703-2019; IBANEZ, JESUS M/G-9910-2019; Del Pezzo, Edoardo/A-7492-2011</t>
  </si>
  <si>
    <t>Almendros, Javier/0000-0001-5936-6160; Morales, Jose/0000-0002-8497-0850; IBANEZ, JESUS M/0000-0002-9846-8781; Del Pezzo, Edoardo/0000-0002-6981-5967; Alguacil De La Blanca, Angel Gerardo/0000-0002-0055-7365</t>
  </si>
  <si>
    <t>JUN</t>
  </si>
  <si>
    <t>219FL</t>
  </si>
  <si>
    <t>WOS:000081597200007</t>
  </si>
  <si>
    <t>Howard-Williams, C</t>
  </si>
  <si>
    <t>Science and commercialism in Antarctica</t>
  </si>
  <si>
    <t>Natl Inst Water &amp; Atmospher Res, Christchurch, New Zealand</t>
  </si>
  <si>
    <t>Howard-Williams, C (corresponding author), Natl Inst Water &amp; Atmospher Res, Christchurch, New Zealand.</t>
  </si>
  <si>
    <t>Howard-Williams, Clive/0000-0002-8323-6806</t>
  </si>
  <si>
    <t>10.1017/S0954102099000188</t>
  </si>
  <si>
    <t>268LA</t>
  </si>
  <si>
    <t>WOS:000084414100001</t>
  </si>
  <si>
    <t>Abele, D; Ferreyra, GA; Schloss, I</t>
  </si>
  <si>
    <t>H2O2 accumulation from photochemical production and atmospheric wet deposition in Antarctic coastal and off-shore waters of Potter Cove, King George Island, South Shetland Islands</t>
  </si>
  <si>
    <t>atmospheric deposition; coastal environment; dissolved organic matter; hydrogen peroxide; King George Island</t>
  </si>
  <si>
    <t>HYDROGEN-PEROXIDE FORMATION; DISSOLVED ORGANIC-CARBON; ULTRAVIOLET-RADIATION; SURFACE WATERS; FREE-RADICALS; INACTIVATION; DEGRADATION; NA,K-ATPASE; CHEMISTRY; SEAWATER</t>
  </si>
  <si>
    <t>Temporal and spatial variations of the hydrogen peroxide accumulation were measured in off-shore waters and in intertidal rockpools near Jubany Station, King George Island, South Shetland Islands. As H2O2 photoformation is mainly driven by the short wavelength radiation in the UV-B and the UV-A range of the solar spectrum, the study was conducted between the beginning of October and the end of December 1995, the period of Antarctic spring ozone depletion. Wet deposition of H2O2 containing snow was identified as a major source of hydrogen peroxide in the surface waters of Potter Cove. As the concentrations of dissolved organic carbon (DOC)in Potter Cove surface waters were low(121 +/- 59 mu mol C l(-1)), when compared to the highly eutrophicated waters on the German Wadden coast (6000-7000 mu mol C l(-1)), direct UV-induced DOC photo-oxidation was of only limited significance in the Antarctic sampling site. Nonetheless, under experimental conditions, H2O2 photoformation in Potter Cove surface waters amounted to 90 +/- 40 nmol H2O2 h(-1) l(-1) under a UV-transparent quartz plate. When high energy UV-B photons were cut-off by a WG320 filter formation continued at a rate of 66 +/- 29 nmol H2O2 h(-1) l(-1) due to UV-A and visible light photons. Samples from freshly deposited snow contained between 10 000 and 13 600 nmol H2O2 l(-1), and a snowfall event in mid November resulted in a maximum concentration of 1450 nmol H2O2 l(-1) in the upper 10 cm layer of Potter Cove surface waters. Maximal H2O2 concentrations in intertidal rockpools were even higher and reached up to 2000 nmol H2O2 l(-1) after the snowfall event. During a grid survey on December 17 1995, H2O2 concentrations and salinity displayed a north to south gradient, with higher concentrations and PSU at the south coast of the cove. The reasons for this spatial inhomogenety are as yet unknown, but may relate to a minor local input of photo-reactive organic matter from creeks entering the cove in the south-east, as well as to waste water discharge from the station, located on the south beach.</t>
  </si>
  <si>
    <t>Alfred Wegener Inst Polar &amp; Meeresforsch, D-27568 Bremerhaven, Germany; Univ Bremen, D-28359 Bremen, Germany; Inst Antartico Argentino, Dept Biol, RA-1010 Buenos Aires, DF, Argentina</t>
  </si>
  <si>
    <t>Helmholtz Association; Alfred Wegener Institute, Helmholtz Centre for Polar &amp; Marine Research; University of Bremen; Instituto Antartico Argentino</t>
  </si>
  <si>
    <t>Abele, D (corresponding author), Alfred Wegener Inst Polar &amp; Meeresforsch, Columbusstr, D-27568 Bremerhaven, Germany.</t>
  </si>
  <si>
    <t>Schloss, Irene R./U-5411-2018</t>
  </si>
  <si>
    <t>Schloss, Irene R./0000-0002-5917-8925; Abele, Doris/0000-0002-5766-5017; Ferreyra, Gustavo Adolfo/0000-0003-1953-5067</t>
  </si>
  <si>
    <t>10.1017/S095410209900019X</t>
  </si>
  <si>
    <t>WOS:000084414100002</t>
  </si>
  <si>
    <t>Calvo, J; Morriconi, E; Rae, GA</t>
  </si>
  <si>
    <t>Reproductive biology of the icefish Champsocephalus esox (Gunther, 1861) (Channichthyidae)</t>
  </si>
  <si>
    <t>fecundity; Notothenioidei; reproduction; subantarctic Channichthyidae</t>
  </si>
  <si>
    <t>PATAGONOTOTHEN-TESSELLATA RICHARDSON; BEAGLE-CHANNEL; PROTEIN-CHANGES; FISH; ARGENTINA; SEA; MATURATION; MATURITY; CYCLE</t>
  </si>
  <si>
    <t>Champsocephalus esox is the only icefish species found outside Antarctica. In a population from the Beagle Channel, the complete annual reproductive cycle has been determined. Gonad maturity stages have been established for males and females by histological analysis. Males are sexually mature from January-September with a maximum gonadosomatic index (GSI) of 3.63%. Histologically, testes are very homogeneous and the degree of maturation of the testicular cysts is similar among different tubules at the same maturation stage. Running ripe testes have mature sperm and a few spermatogoniae arranged near the blind end of the tubules. In sexually active females that are found from February-November, ovaries contain only ripe oocytes or postovulatory follicles, together with a batch of previtellogenic oocytes, During hydration, oocyte diameter reaches 2.7 mm, and oocyte dry weight increases due to material intake, the maximum GSI in ovulated ovaries is 21.89 and hepatosomatic index (HSI) decreases. These facts suggest a transfer of matter from liver to the gonads. Absolute fecundity ranges from 3303-8600 oocytes. Relative fecundity ranges from 22.5-43.5 oocytes per gram total weight. In C, esox, relative fecundity has a similar range to those quoted for the different C. gunnari populations, whilst mature oocyte diameter is small and reproductive season extended compared to the same parameters in other Channichthyidae.</t>
  </si>
  <si>
    <t>CONICET, Ctr Austral Invest Cient, RA-9410 Ushuaia, Tierra Fuego, Argentina</t>
  </si>
  <si>
    <t>Consejo Nacional de Investigaciones Cientificas y Tecnicas (CONICET)</t>
  </si>
  <si>
    <t>Calvo, J (corresponding author), CONICET, Ctr Austral Invest Cient, CC 92, RA-9410 Ushuaia, Tierra Fuego, Argentina.</t>
  </si>
  <si>
    <t>10.1017/S0954102099000206</t>
  </si>
  <si>
    <t>WOS:000084414100003</t>
  </si>
  <si>
    <t>Croxall, JP; Black, AD; Wood, AG</t>
  </si>
  <si>
    <t>Age, sex and status of wandering albatrosses Diomedea exulans L-in Falkland Islands waters</t>
  </si>
  <si>
    <t>age; at-sea distribution; breeding status; Falkland Islands; South Georgia; wandering albatross</t>
  </si>
  <si>
    <t>MELANOPHRIS; DISCARDS; TRAWLERS; OCEAN</t>
  </si>
  <si>
    <t>Records (by a scientific observer on a longline fishing vessel around the Falkland Islands) of 86 different individually colour-banded wandering albatrosses from South Georgia, provide new insights into the use of the waters of the Patagonian shelf slope by birds from breeding grounds some 600 km to the south-east across the Antarctic Polar Front. Birds recorded were aged from 3-39 years, almost the full range (except 1 and 2 year olds) of South Georgia colour-banded birds, about 5% of whose colour-banded population was observed during the study. Immature birds (up to age 7 years) formed only 9% of the total; this may reflect relative absence from the area but might also relate to their subordinate status to adults at fishing vessels. Most birds seen were current breeders at South Georgia, including both sexes in the month prior to arrival on the breeding grounds (October), females during the pre-laying exodus (December) and both sexes during incubation (January) and throughout the main chick-rearing period (May, June, October). Only birds which had already failed were seen in the brooding period (March-April), when foraging trips are too short to reach the Falklands. Females outnumbered males in all these categories, supporting suggestions of different distributions of the sexes at sea during breeding. Birds of both sexes that had bred at South Georgia in the previous year were seen mainly between January and April. Birds that had not bred for at least three years were mainly males and mainly seen in January. These data indicate the importance of the waters near the Patagonian Shelf, especially around the Falklands, for wandering albatrosses from South Georgia, particularly breeding birds but also birds in their year(s) between breeding attempts. This is of particular relevance, given the globally threatened status of the species and the possibility of hydrocarbon exploitation in waters around the Falklands.</t>
  </si>
  <si>
    <t>Croxall, JP (corresponding author), British Antarctic Survey, NERC, High Cross,Madingley Rd, Cambridge CB3 0ET, England.</t>
  </si>
  <si>
    <t>10.1017/S0954102099000218</t>
  </si>
  <si>
    <t>WOS:000084414100004</t>
  </si>
  <si>
    <t>Davey, MC</t>
  </si>
  <si>
    <t>The elemental and biochemical composition of bryophytes from the maritime Antarctic</t>
  </si>
  <si>
    <t>carbohydrate; moss; nitrogen; phosphorus; protein; seasonality; water availability</t>
  </si>
  <si>
    <t>PHOTOSYNTHETIC PARAMETERS; DEHYDRATION</t>
  </si>
  <si>
    <t>The elemental and biochemical composition of eight eight moss species from the maritime Antarctic were determined fornightly (summer) or monthly (winter) from December 1992 to November 1994. Short-duration summer carbohydrate maxima in Calliergon sarmentosum were seen in both years, but no other seasonal patterns were observed. The absence of seasonality in carbon, nitrogen and phosphorus concentrations or their atomic ratios suggest that the mosses were nutrient-sufficient throughout the year, and that nutrient availability was not important in determining moss productivity. Mosses from hydric habitats had lower carbohydrate and higher protein, nitrogen and phosphorus contents than those from drier habitats, possibly as a consequence of higher productivity and continual flushing with nutrients in wet habitats. The results are consistent with the importance of water and the primacy of physical factors in the ecology of Antarctic mosses.</t>
  </si>
  <si>
    <t>Davey, MC (corresponding author), British Antarctic Survey, NERC, High Cross,Madingley Rd, Cambridge CB3 0ET, England.</t>
  </si>
  <si>
    <t>10.1017/S095410209900022X</t>
  </si>
  <si>
    <t>WOS:000084414100005</t>
  </si>
  <si>
    <t>Frati, F; Carapelli, A</t>
  </si>
  <si>
    <t>An assessment of the value of nuclear and mitochondrial genes in elucidating the origin and evolution of Isotoma klovstadi Carpenter (Insecta, Collembola)</t>
  </si>
  <si>
    <t>COII; collembola; EF-1 alpha; Isotoma klovstadi; phylogeny; rDNA</t>
  </si>
  <si>
    <t>ELONGATION FACTOR-1-ALPHA; DNA-SEQUENCES; RIBOSOMAL-RNA; CYTOCHROME-B; PHYLOGENETIC ANALYSIS; SECONDARY STRUCTURE; SUBSTITUTION; RATES; ALIGNMENT; DIPTERA</t>
  </si>
  <si>
    <t>In order to infer the origin and the evolution of Antarctic Collembola, a correct phylogenetic analysis depicting relationships among Antarctic and non-Antarctic species is required. A preliminary assessment of the value of DNA sequences in reconstructing phylogenetic relationships among the Antarctic Isotoma klovstadi and other non-Antarctic species was carried out by sequencing one mitochondrial gene (Cytochrome c oxidase, subunit II) and two nuclear genes (a fragment of the 28S rDNA and the Elongation Factor-1 alpha). Estimates of base composition heterogeneity revealed that in the two protein-coding genes (COII and EF-1 alpha) 3rd codon position sites are compositionally very heterogeneous and the analysis of these two genes was therefore performed only on 1st and 2nd codon position sites. Phylogenetic analyses using Maximum Likelihood, Maximum Parsimony and Minimum Evolution revealed that the COII and the EF-1 alpha genes are more suitable than the D3 fragment for the reconstruction of phylogenetic relationships within the Family Isotomidae to which Isotoma and several other genera of Antarctic Collembola belong.</t>
  </si>
  <si>
    <t>Univ Siena, Dept Evolutionary Biol, I-53100 Siena, Italy</t>
  </si>
  <si>
    <t>University of Siena</t>
  </si>
  <si>
    <t>Frati, F (corresponding author), Univ Siena, Dept Evolutionary Biol, Via PA Mattioli 4, I-53100 Siena, Italy.</t>
  </si>
  <si>
    <t>Carapelli, Antonio/H-9216-2019</t>
  </si>
  <si>
    <t>Carapelli, Antonio/0000-0002-3165-9620</t>
  </si>
  <si>
    <t>10.1017/S0954102099000231</t>
  </si>
  <si>
    <t>WOS:000084414100006</t>
  </si>
  <si>
    <t>Gibson, JAE</t>
  </si>
  <si>
    <t>The meromictic lakes and stratified marine basins of the Vestfold Hills, East Antarctica</t>
  </si>
  <si>
    <t>climate change; meromictic; salinity; stratification; temperature; Vestfold Hills</t>
  </si>
  <si>
    <t>SALINE LAKES; PHOTOSYNTHETIC BACTERIA; EVOLUTION; LIMNOLOGY; PHYTOPLANKTON; ZOOPLANKTON; HYPERSALINE; TEMPERATURE; MEROMIXIS; COASTLINE</t>
  </si>
  <si>
    <t>Thirty-four permanently stratified water bodies were identified in a survey of the Vestfold Hills. Of these, 21 were lakes, six were seasonally isolated marine basins (SIMBs), and seven were marine basins with year round connection to the open ocean. The basins varied markedly in salinity (4 g l(-1) to 235 g l(-1)), temperature (- 14 degrees C to 24 degrees C), depth (5 m to 110 m), area (3.6 ha to 146 ha) and surface level (-30 m to 29 m above sea level). The stratification in all the basins was maintained by increases in salinity. During winter, a thermohaline convection cell was present in all lakes and SIMBs directly beneath the ice cover. These cells were the result of brine exclusion from the forming ice, and increased in density throughout winter, penetrating progressively deeper into the lake. Minimum stability, and therefore the maximum likelihood of turnover, occurred at the time of maximum ice formation in spring. At the end of the period of ice formation, the convection cell broke down, and stratification of the surface water occurred. When the ice melted completely, lenses of relatively fresh water capped the lakes, which reduced the effect of wind mixing. Net meltwater input increased the stability of the meromictic basins, while periods of lower water level resulted in deeper penetration of the thermohaline convection cell, increasing the possibility of turnover and destratification.</t>
  </si>
  <si>
    <t>Australian Antarctic Div, Kingston, Tas 7050, Australia</t>
  </si>
  <si>
    <t>Gibson, JAE (corresponding author), Univ Laval, Dept Biol, St Foy, PQ G1K 7P4, Canada.</t>
  </si>
  <si>
    <t>10.1017/S0954102099000243</t>
  </si>
  <si>
    <t>WOS:000084414100007</t>
  </si>
  <si>
    <t>Guinet, C; Jouventin, P; Weimerskirch, H</t>
  </si>
  <si>
    <t>Recent population change of the southern elephant seal at Iles Crozet and Iles Kerguelen: the end of the decrease?</t>
  </si>
  <si>
    <t>Iles Crozet; Iles Kerguelen; Mirounga leonina; population size; southern elephant seal</t>
  </si>
  <si>
    <t>MIROUNGA-LEONINA; GEORGIA; ISLAND</t>
  </si>
  <si>
    <t>The elephant seal populations breeding on the Iles Crozet and Kerguelen were regularly surveyed over the last three decades. At Iles Kerguelen the number of breeding females decreased at an annual rate of 3.6% between 1970 and 1987, then increased at an annual rate of 1.1% to 1997. At Iles Crozet, the population was reported to decrease at a rate of 5.35% between 1970 and 1990 but no change in numbers was found between 1990 and 1997. These results indicate that the rapid decline observed both at Iles Crozet and Iles Kerguelen has ended, and these populations are now either stable or slightly increasing. We suggest that broad scale change in environmental factors affecting the food availability for elephant seals may be responsible for the change in numbers of these marine predators. The higher rate of decrease, the longer period of decline, and the absence of any significant change between 1990 and 1997 observed on the Iles Crozet may be explained by additional factors such as killer whale predation.</t>
  </si>
  <si>
    <t>CNRS, Ctr Etud Biol Chize, F-79360 Villiers En Bois, France</t>
  </si>
  <si>
    <t>Guinet, C (corresponding author), CNRS, Ctr Etud Biol Chize, F-79360 Villiers En Bois, France.</t>
  </si>
  <si>
    <t>Weimerskirch, Henri/K-7306-2019; Weimerskirch, Henri/F-5562-2013; Guinet, Christophe/AAR-8457-2020</t>
  </si>
  <si>
    <t>10.1017/S0954102099000255</t>
  </si>
  <si>
    <t>WOS:000084414100008</t>
  </si>
  <si>
    <t>Hawes, I; Smith, R; Howard-Williams, C; Schwarz, AM</t>
  </si>
  <si>
    <t>Environmental conditions during freezing, and response of microbial mats in ponds of the McMurdo Ice Shelf, Antarctica</t>
  </si>
  <si>
    <t>freezing; photosynthesis; ponds; shade adaptation; temperature</t>
  </si>
  <si>
    <t>PHOTOSYNTHESIS; CYANOBACTERIA; DESICCATION; COMMUNITIES; BIOMASS; LIGHT</t>
  </si>
  <si>
    <t>Environmental conditions, both external to and within three shallow ponds of the McMurdo Ice Shelf, were measured over an annual cycle between January 1997 and January 1998. We combined this with a study of the response of the benthic microbial mat communities to the transition from summer conditions to winter freezing. Over the study period air temperature was above 0 degrees C for a few days during summer. at this time pond temperatures were higher than air temperatures, with evidence of thermo-haline stratification. The shallow areas of ponds froze between late February and early March, with bottom waters in the deepest pond remaining unfrozen until early June. Minimum winter air temperatures were below -40 degrees C. There was little evidence of freezing point depression due to freeze-concentration of solutes, except at the very bottom of ponds. In the most conductive pond investigated, the temperature of basal freezing was -4 degrees C and conductivity did not exceed approximately 60 mS cm(-1) immediately prior to freezing. Microbial mats remained photosynthetically active up to conductivities between 40 and 80 mS cm(-1), and were able to acclimate to lowered irradiance associated with ice formation. Although photosynthesis and respiration were reduced by 11% and 40% respectively at temperatures of -2 degrees C compared to 1 degrees C, there was no difference in light harvesting efficiency. Results from this study suggest that light limitation of photosynthesis, or freezing, determine the growth season for the microbial communities, depending on depth.</t>
  </si>
  <si>
    <t>Natl Inst Water &amp; Atmospher Res Ltd, Christchurch, New Zealand</t>
  </si>
  <si>
    <t>Hawes, I (corresponding author), Natl Inst Water &amp; Atmospher Res Ltd, POB 8602, Christchurch, New Zealand.</t>
  </si>
  <si>
    <t>Hawes, Ian/0000-0003-2471-6903; Howard-Williams, Clive/0000-0002-8323-6806</t>
  </si>
  <si>
    <t>10.1017/S0954102099000267</t>
  </si>
  <si>
    <t>WOS:000084414100009</t>
  </si>
  <si>
    <t>Bozzo, E; Ferraccioli, F; Gambetta, M; Caneva, G; Spano, M; Chiappin, M; Damaske, D</t>
  </si>
  <si>
    <t>Recent progress in magnetic anomaly mapping over Victoria Land (Antarctica) and the GITARA 5 survey</t>
  </si>
  <si>
    <t>GITARA 5 survey; magnetic anomaly mapping; Victoria Land</t>
  </si>
  <si>
    <t>ROSS SEA; RIFT</t>
  </si>
  <si>
    <t>Magnetic anomaly mapping is used to interpret crustal structure and tectonic evolution of Victoria Land and of the adjacent Ross Sea. Previous interpretation of magnetic anomalies verified seismic and gravimetric findings in the Ross Sea by placing additional constraints both on crustal structure and magmatism of the West Antarctic rift system. An aeromagnetic map of the central-southern part of Victoria Land produced in the framework of the GITARA project, provides new crustal images of part of the Trans antarctic Mountains rift shoulder. The map was interpreted to study the transition between the Wilson Terrane and the Precambrian East Antarctic Craton, the extent and distribution of Jurassic tholeiitic magmatism, and the occurrence of post-Jurassic faulting oblique to the rift basins. A compilation with adjacent aeromagnetic data was recently used to study the structures inherited from the Palaeozoic terranes and their reactivation as major fault zones separating different crustal blocks along the TAM rift shoulder. Additional aeromagnetic coverage over a 35 500 km(2) sector of northern Victoria Land was acquired during the GITARA 5 (1996/97) survey. The flight altitude was 9000 ft and profile line spacing was 4.4 km for the regional grid and 2.2 km for the detailed one, with a tie line interval of 22 km. Standard processing techniques, optimized with microlevelling procedures were applied to the data to produce a 1:250 000 magnetic anomaly map. The processed GITARA 5 magnetic dataset is a new tool to study the structure of the Rennick Graben, and its relationship to the Palaeozoic Wilson Terrane-Bowers Terrane and Robertson Bay Terrane suture zone. The new map also represents important progress towards a magnetic anomaly compilation over the whole of VictoriaLand, since it links previous efforts near the Pacific Coast with those near the Ross Sea.</t>
  </si>
  <si>
    <t>Univ Genoa, Sez Geofis, Dipartimento Sci Terra, I-16132 Genoa, Italy; Ist Nazl Geofis, I-00143 Rome, Italy; Bundesanstalt Geowissensch &amp; Rohstoffe, D-30655 Hannover, Germany</t>
  </si>
  <si>
    <t>University of Genoa; Istituto Nazionale Geofisica e Vulcanologia (INGV)</t>
  </si>
  <si>
    <t>Bozzo, E (corresponding author), Univ Genoa, Sez Geofis, Dipartimento Sci Terra, Viale Benedetto XV 5, I-16132 Genoa, Italy.</t>
  </si>
  <si>
    <t>10.1017/S0954102099000279</t>
  </si>
  <si>
    <t>WOS:000084414100010</t>
  </si>
  <si>
    <t>Capponi, G; Crispini, L; Meccheri, M</t>
  </si>
  <si>
    <t>The metaconglomerates at the eastern Lanterman Range (northern Victoria Land, Antarctica): new constraints for their interpretation</t>
  </si>
  <si>
    <t>Antarctica; Bowers terrane; Husky Conglomerate; Lanterman Conglomerate; Lanterman Range; northern Victoria Land</t>
  </si>
  <si>
    <t>MARGIN</t>
  </si>
  <si>
    <t>Highly deformed metaconglomerates, mafic to felsic in composition, characterize the eastern Lanterman Range (northern Victoria Land, Antarctica). In the literature the mafic and felsic metaconglomerates are known as Husky Conglomerate and Lanterman Conglomerate respectively. They occurin a 25 km long strip along the Lanterman Fault, which is a major tectonic boundary between the Wilson and the Bowers terranes. New field observations show that there is a gradual transition from mafic to felsic metaconglomerates: this supports a stratigraphical continuum from Husky to Lanterman Conglomerate, and indicates that they belong to the same sedimentary succession. Structural analysis indicates that Husky and Lanterman conglomerates suffered the same structural evolution. From all these evidences, there is no reason to distinguish two types of metaconglomerates, apart from the diversity in the lithological features. However the two terms Husky Conglomerate and Lanterman Conglomerate can be still used to refer to the mafic and felsic facies of the same sedimentary succession. On the basis of their lithology the Husky Conglomerate can be derived from the Glasgow volcanic are, whereas the felsic clasts of the Lanterman Conglomerate may be derived from a continental basement below the Glasgow are or from a continental block bounding the Bowers trough.</t>
  </si>
  <si>
    <t>Univ Genoa, Dipartimento Studio Terr &amp; Risorse, I-16132 Genoa, Italy; Univ Siena, Dipartimento Sci Terra, I-53100 Siena, Italy</t>
  </si>
  <si>
    <t>University of Genoa; University of Siena</t>
  </si>
  <si>
    <t>Capponi, G (corresponding author), Univ Genoa, Dipartimento Studio Terr &amp; Risorse, Corso Europa 26, I-16132 Genoa, Italy.</t>
  </si>
  <si>
    <t>Crispini, Laura/N-1580-2019</t>
  </si>
  <si>
    <t>Crispini, Laura/0000-0001-5770-8569</t>
  </si>
  <si>
    <t>10.1017/S0954102099000280</t>
  </si>
  <si>
    <t>WOS:000084414100011</t>
  </si>
  <si>
    <t>Isbell, JL</t>
  </si>
  <si>
    <t>The Kukri Erosion Surface; a reassessment of its relationship to rocks of the beacon supergroup in the central Transantarctic Mountains, Antarctica</t>
  </si>
  <si>
    <t>Beacon Supergroup; central Transantarctic Mountains; Devonian; Kukri Erosion surface; successor basins</t>
  </si>
  <si>
    <t>NORTH VICTORIA-LAND; RECONSTRUCTION; TECTONICS; BASIN</t>
  </si>
  <si>
    <t>Much of Antarctica's Devonian to Jurassic geological history is interpreted from the study of the Beacon Supergroup in the central Transantarctic Mountains. The upper part of the succession has been extensively investigated, although, few studies focus on the basal rocks. Deposition occurred within a Transantarctic basin believed to have extended along the edge of the East Antarctic Craton in early Beacon time, either as a marginal, passive margin, or a cratonic basin. Early basinal deposits include the Devonian Taylor Group and Upper Carboniferous-Lower Permian glacial sediments. Previous studies concluded that the Taylor Group in CTM was deposited as a continuous sheet across the low-relief Kukri Erosion Surface that developed on the planed Ross orogenic belt. These interpretations also concluded that late Palaeozoic glaciation truncated the Devonian sheet. New data suggest that this view, and current models for the early Beacon basin, maybe incorrect. Lithofacies, palaeocurrent orientations, sandstone composition, and stratigraphical relationships of central Transantarctic Mountains rocks suggest that deposition occurred within two intermontane or successor basins following post-orogenic uplift of the Ross terrain. Segregation of lithofacies and onlap of Taylor Group rocks onto an undulating Kukri Erosion Surface show that a basement high separated non-marine deposits between the Byrd and Ramsey glaciers from marine sediment in the Ohio Range. Onlap of glacial rocks and palaeocurrent data suggest intermontane conditions continued until the Early Permian.</t>
  </si>
  <si>
    <t>Univ Wisconsin, Dept Geosci, Milwaukee, WI 53201 USA</t>
  </si>
  <si>
    <t>University of Wisconsin System; University of Wisconsin Milwaukee</t>
  </si>
  <si>
    <t>Isbell, JL (corresponding author), Univ Wisconsin, Dept Geosci, POB 413, Milwaukee, WI 53201 USA.</t>
  </si>
  <si>
    <t>10.1017/S0954102099000292</t>
  </si>
  <si>
    <t>WOS:000084414100012</t>
  </si>
  <si>
    <t>Truswell, EM; Dettmann, ME; O'Brien, PE</t>
  </si>
  <si>
    <t>Mesozoic palynofloras from the Mac. Robertson shelf, East Antarctica: geological and phytogeographic implications</t>
  </si>
  <si>
    <t>Cretaceous; Jurassic; Mac. Robertson shelf; palynology; phytogeography; stratigraphy</t>
  </si>
  <si>
    <t>CONTINENTAL-SHELF; SOUTH-AMERICA; PENINSULA; SEA; SEDIMENTS</t>
  </si>
  <si>
    <t>Gravity cores taken from five sites in the Nielsen basin, a sinuous trough on the Mac. Robertson shelf of the East Antarctic continental margin, have yielded non-marine palynofloras of late Early Jurassic to Early Cretaceous age. The palynomorphs occur in glacimarine muds and are thus not in situ, but the composition of the samples indicates that no mixing of individual assemblages has occurred, and that the sediments were deposited very close to outcrop of the source of the palynomorphs. The sequence is oldest at the seaward end of the Nielsen basin, and youngest near the fault-bounded landward end. It is interpreted as reflecting pre-breakup deposition on a passive, rifted continental margin. The age of the assemblages has been established by comparison with the zonal scheme developed in the Perth Basin of Western Australia. Similarity of the Antarctic palynofloras with those known from basins on the east coast of India confirms continental reconstructions that show this part of East Antarctica to have been contiguous with eastern India prior to break-up. The non-marine character of the palynomorphs suggests that marine conditions in this region of the Antarctic margin did not develop until at least late Early Cretaceous time.</t>
  </si>
  <si>
    <t>Australian Natl Univ, Dept Geol, Canberra, ACT 2600, Australia; Univ Queensland, Dept Bot, Brisbane, Qld 4072, Australia; Antarctic CRC, Canberra, ACT 2601, Australia; Australian Geol Survey Org, Canberra, ACT 2601, Australia</t>
  </si>
  <si>
    <t>Australian National University; University of Queensland; Geoscience Australia</t>
  </si>
  <si>
    <t>Truswell, EM (corresponding author), Australian Natl Univ, Dept Geol, GPO Box 4, Canberra, ACT 2600, Australia.</t>
  </si>
  <si>
    <t>Truswell, Elizabeth/0000-0003-1848-6961; O'Brien, Philip/0000-0003-3446-3292</t>
  </si>
  <si>
    <t>10.1017/S0954102099000309</t>
  </si>
  <si>
    <t>WOS:000084414100013</t>
  </si>
  <si>
    <t>Wand, U; Perlt, J</t>
  </si>
  <si>
    <t>Glacial boulders 'floating' on the ice cover of Lake Untersee, East Antarctica</t>
  </si>
  <si>
    <t>Antarctica; glacial boulders; glacial geomorphology; lake ice</t>
  </si>
  <si>
    <t>Large glacial boulders, up to several metres in diameter, resting on the lake ice are a remarkable feature of Lake Untersee (71 degrees 21'S, 13 degrees 28'E), an ice-dammed, perennially frozen freshwater lake in the Ottovon-Gruber-Gebirge (Gruber Mountains) of central Queen Maud Land, East Antarctica. A geodetic survey of such ice-rafted boulders was made over two summer seasons to determine the direction and velocity of their movement. They are transported between 3.9 and 11.1 m annually and the residence time of the boulders is estimated at approximately 500 years. Lake Untersee must have been permanently covered with lake ice for at least that long.</t>
  </si>
  <si>
    <t>Alfred Wegener Inst Polar &amp; Marine Res, Res Unit Potsdam, D-14473 Potsdam, Germany; Tech Univ Dresden, Inst Planetare Geodasie, D-01062 Dresden, Germany</t>
  </si>
  <si>
    <t>Helmholtz Association; Alfred Wegener Institute, Helmholtz Centre for Polar &amp; Marine Research; Technische Universitat Dresden</t>
  </si>
  <si>
    <t>Wand, U (corresponding author), Alfred Wegener Inst Polar &amp; Marine Res, Res Unit Potsdam, Telegrafenberg A43, D-14473 Potsdam, Germany.</t>
  </si>
  <si>
    <t>10.1017/S0954102099000310</t>
  </si>
  <si>
    <t>WOS:000084414100014</t>
  </si>
  <si>
    <t>Mangani, F; Maione, M; Lattanzi, L</t>
  </si>
  <si>
    <t>Significance of selected halocarbons monitoring in air samples collected in the Terra Nova Bay region (northern Victoria Land, Antarctica)</t>
  </si>
  <si>
    <t>Antarctica; chlorofluorocarbons; gas chromatography-electron capture detection (GC-ECD); troposphere</t>
  </si>
  <si>
    <t>TROPOSPHERIC CONCENTRATION</t>
  </si>
  <si>
    <t>CCl3F (or CFC-11) and CCl2F2 (or CFC-12) were determined in air samples collected, during subsequent summer Antarctic campaigns, in different sampling sites in the Ross Sea Region. The samples were analysed by GC-ECD after enrichment. Data obtained since 1988-89 were plotted to observe the trend of CFCs atmospheric concentration levels. A decrease in the rate of increase of CFC-12 concentration was observed, whilst the concentration of CFC-11 was actually seen to be decreasing.</t>
  </si>
  <si>
    <t>Univ Urbino, Ist Sci Chim F Bruner, I-61029 Urbino, Italy</t>
  </si>
  <si>
    <t>University of Urbino</t>
  </si>
  <si>
    <t>Mangani, F (corresponding author), Univ Urbino, Ist Sci Chim F Bruner, 6 Piazza Rinascimento, I-61029 Urbino, Italy.</t>
  </si>
  <si>
    <t>Maione, Michela/0000-0002-2622-5772</t>
  </si>
  <si>
    <t>10.1017/S0954102099000322</t>
  </si>
  <si>
    <t>WOS:000084414100015</t>
  </si>
  <si>
    <t>Reay, DS; Nedwell, DB; Priddle, J; Ellis-Evans, JC</t>
  </si>
  <si>
    <t>Temperature dependence of inorganic nitrogen uptake: Reduced affinity for nitrate at suboptimal temperatures in both algae and bacteria</t>
  </si>
  <si>
    <t>FLOWING SOLUTION CULTURE; BRASSICA-NAPUS L; AMMONIUM UPTAKE; ROOT TEMPERATURE; PSYCHROPHILIC BACTERIUM; ANTARCTIC PHYTOPLANKTON; MARINE PHYTOPLANKTON; MICROBIAL-GROWTH; SCOTIA SEA; NUTRIENT</t>
  </si>
  <si>
    <t>Nitrate utilization and ammonium utilization were studied by using three algal isolates, six bacterial isolates, and a range of temperatures in chemostat and batch cultures. We quantified affinities for both substrates by determining specific affinities (specific affinity = maximum growth rate/half-saturation constant) based on estimates of kinetic parameters obtained from chemostat experiments. At suboptimal temperatures, the residual concentrations of nitrate in batch cultures and the steady-state concentrations of nitrate in chemostat cultures both increased. The specific affinity for nitrate was strongly dependent on temperature (Q(10) approximate to 3, where Q(10) is the proportional change with a 10 degrees C temperature increase) and consistently decreased at temperatures below the optimum temperature. In contrast, the steady-state concentrations of ammonium remained relatively constant over the same temperature range, and the specific affinity for ammonium exhibited no clear temperature dependence. This is the first time that a consistent effect of low temperature on affinity for nitrate has been identified for psychrophilic, mesophilic, and thermophilic bacteria and algae. The different responses of nitrate uptake and ammonium uptake to temperature imply that there is increasing dependence on ammonium as an inorganic nitrogen source at low temperatures.</t>
  </si>
  <si>
    <t>Univ Essex, Dept Biol Sci, Colchester CO4 3SQ, Essex, England; British Antarctic Survey, NERC, Cambridge CB3 0ET, England</t>
  </si>
  <si>
    <t>University of Essex; UK Research &amp; Innovation (UKRI); Natural Environment Research Council (NERC); NERC British Antarctic Survey</t>
  </si>
  <si>
    <t>Reay, DS (corresponding author), Univ Essex, Dept Biol Sci, Wivenhoe Pk, Colchester CO4 3SQ, Essex, England.</t>
  </si>
  <si>
    <t>dsreay@essex.ac.uk</t>
  </si>
  <si>
    <t>Reay, Dave/0000-0001-5829-9007</t>
  </si>
  <si>
    <t>1752 N ST NW, WASHINGTON, DC 20036-2904 USA</t>
  </si>
  <si>
    <t>201YF</t>
  </si>
  <si>
    <t>WOS:000080624300045</t>
  </si>
  <si>
    <t>Rishbeth, H; Clilverd, M</t>
  </si>
  <si>
    <t>Long-term change in the upper atmosphere</t>
  </si>
  <si>
    <t>ASTRONOMY &amp; GEOPHYSICS</t>
  </si>
  <si>
    <t>NOCTILUCENT CLOUD OCCURRENCE; LOWER THERMOSPHERE; GLOBAL CHANGE; SOLAR-CYCLE; F-REGION; TRENDS; TEMPERATURE; MESOSPHERE; CLIMATOLOGY; INDICATOR</t>
  </si>
  <si>
    <t>Univ Southampton, Dept Phys &amp; Astron, Southampton SO17 1BJ, Hants, England; British Antarctic Survey, Cambridge CB3 0ET, England</t>
  </si>
  <si>
    <t>Rishbeth, H (corresponding author), Univ Southampton, Dept Phys &amp; Astron, Southampton SO17 1BJ, Hants, England.</t>
  </si>
  <si>
    <t>1366-8781</t>
  </si>
  <si>
    <t>ASTRON GEOPHYS</t>
  </si>
  <si>
    <t>Astron. Geophys.</t>
  </si>
  <si>
    <t>10.1093/astrog/40.3.3.26</t>
  </si>
  <si>
    <t>Astronomy &amp; Astrophysics; Geochemistry &amp; Geophysics</t>
  </si>
  <si>
    <t>201EF</t>
  </si>
  <si>
    <t>WOS:000080581500016</t>
  </si>
  <si>
    <t>Pook, M</t>
  </si>
  <si>
    <t>Untitled</t>
  </si>
  <si>
    <t>AUSTRALIAN METEOROLOGICAL MAGAZINE</t>
  </si>
  <si>
    <t>Univ Tasmania, Antarctic CRC, Hobart, Tas 7001, Australia</t>
  </si>
  <si>
    <t>AUSTRALIAN GOVT PUBL SERV</t>
  </si>
  <si>
    <t>CANBERRA</t>
  </si>
  <si>
    <t>PO BOX 84, CANBERRA, 2601, AUSTRALIA</t>
  </si>
  <si>
    <t>0004-9743</t>
  </si>
  <si>
    <t>AUST METEOROL MAG</t>
  </si>
  <si>
    <t>Aust. Meteorol. Mag.</t>
  </si>
  <si>
    <t>218GR</t>
  </si>
  <si>
    <t>WOS:000081545300001</t>
  </si>
  <si>
    <t>Turner, J</t>
  </si>
  <si>
    <t>An overview of the Antarctic FROST project</t>
  </si>
  <si>
    <t>A brief overview is presented of the rationale behind and the implementation of the Antarctic First Regional Observing Study of the Troposphere (FROST) project. FROST is concerned with studying the meteorology of the Antarctic during three one-month Special Observing Periods (July 1994, 16 October-15 November 1994 and January 1995) during which comprehensive datasets of in situ and satellite observations and model fields were assembled. These data have been used to produce high quality, hand-drawn analyses for the area south of 50 degrees S which have subsequently been used to assess the operational analyses and forecasts produced in near real-time. The revised analyses have been digitised and are available in GRIB code format. As the FROST dataset is the most complete collection of Antarctic observations assembled since FGGY in 1979, it offers great opportunities for researchers over the coming Sears.</t>
  </si>
  <si>
    <t>Turner, J (corresponding author), British Antarctic Survey, Madingly Rd,High Cross, Cambridge CB3 0ET, England.</t>
  </si>
  <si>
    <t>WOS:000081545300002</t>
  </si>
  <si>
    <t>Turner, J; Colwell, S; Leonard, S</t>
  </si>
  <si>
    <t>Data collected during the FROST project</t>
  </si>
  <si>
    <t>An outline is given of the data collected during the winter and summer FROST Special Observing Periods (SOPs) of July 1994 and January 1995, A total of 7,020 (9,582) surface meteorological reports have been obtained from the staffed stations for the winter (summer) periods, representing about 92 per cent of the possible maxima, based on station reporting schedules. The corresponding numbers of radiosonde ascents from winter and summer were 952 and 971 respectively. Today, more observations from automatic weather stations (AWSs) are available for the Antarctic than reports from staffed stations, and the number of AWS observations collected for the two SOPs were 11,721 (13,515) for winter (summer), Forecasts and analyses for the SOPs have been obtained from a number of forecast centres, The FROST data archive also includes ship, drifting buoy, scatterometer surface wind vectors and a wide range of satellite data. Many of the FROST datasets are accessible via the World Wide Web site at http:www.nerc-bas.ac.uk/public/icd/FROST/.</t>
  </si>
  <si>
    <t>Turner, J (corresponding author), British Antarctic Survey, Madingley Rd,High Cross, Cambridge CB3 0ET, England.</t>
  </si>
  <si>
    <t>WOS:000081545300003</t>
  </si>
  <si>
    <t>Adams, N; Hutchinson, H; Hart, T</t>
  </si>
  <si>
    <t>An analysis of TOVS data during the FROST special observing periods</t>
  </si>
  <si>
    <t>OPERATIONAL VERTICAL SOUNDER; ASSIMILATION</t>
  </si>
  <si>
    <t>Much of the Antarctic continent and surrounding oceans are devoid of observing platforms, making the southern hemisphere, south of 50 degrees S, the most data-sparse area on the planet. To adequately define initial conditions for global atmospheric modelling, scientists are having to rely primarily on remotely sensed data from satellite-based systems. In this study, data from the TIROS Operational Vertical Sounders (TOVS) on the NOAA11 and NOAA12 polar-orbiting satellites are compared with balloon-based soundings from Antarctic stations using data from the three special observing periods of the FROST project. Results from the study suggest that, in general, TOVS-derived thickness values over continental Antarctica are highly suspect and likely to deviate significantly from the 'truth'. However, retrievals taken over oceanic regions, between 50 degrees S and the Antarctic coast, are highly correlated with radiosonde measurements and should prove useful in deriving upper-air analyses for the FROST analysis project. In the second part of the study, where TOVS retrievals were compared with analyses from the Australian Bureau of Meteorology's Global Assimilation and Prediction (GASP) system, large discrepancies were found between GASP and TOVS analyses over continental Antarctica. Whether the major source of the discrepancies was in the TOVS retrievals or the model analyses is not clear.</t>
  </si>
  <si>
    <t>Antarctic CRC, Hobart, Tas 7001, Australia; Australian Bur Meteorol, Hobart, Tas 7001, Australia; Bur Meteorol, Reg Off, Hobart, Tas, Australia</t>
  </si>
  <si>
    <t>Bureau of Meteorology - Australia; Bureau of Meteorology - Australia</t>
  </si>
  <si>
    <t>Adams, N (corresponding author), Antarctic CRC, GPO Box 252-80, Hobart, Tas 7001, Australia.</t>
  </si>
  <si>
    <t>WOS:000081545300004</t>
  </si>
  <si>
    <t>Jacka, KJ</t>
  </si>
  <si>
    <t>An impact study involving ERS-1 scatterometer wind data - implications for the 'FROST' project</t>
  </si>
  <si>
    <t>METEOROLOGYS GLOBAL ASSIMILATION; PREDICTION SYSTEM; EVOLUTION; BUREAU</t>
  </si>
  <si>
    <t>Wind data derived from backscatter measurements by the ERS-1 satellite scatterometer instrument are an important new source of data for Southern Ocean meteorology. The data were used heavily towards subjective, manual, mean sea-level pressure analysis during the First Regional Observing Study of the Troposphere (FROST). This report describes a preliminary impact study, conducted within the framework of the Australian Bureau of Meteorology's global data assimilation system, to assess the influence of ERS-1 scatterometer data on numerical analyses and forecasts. The ERS-1 wind data used during FROST, and in the impact experiment, were generated via application of a model transfer function developed by the European Space Agency (ESA). These wind estimates have since been re-generated at the French oceanographic institute, IFREMER (Institut Francais de Recherche pour l'Exploitation de la Mer), via use of an alternative model transfer function and wind finding system. Comparison is made between 10 m minds generated by use of each of the alternative model transfer functions and collocated data from the European Centre for Medium-Range Weather Forecasts (ECMWF) numerical analyses. The study concentrates on four one-month periods, including the three observing phases of FROST.</t>
  </si>
  <si>
    <t>Antarctic CRC, Hobart, Tas 7001, Australia; Bur Meteorol, Hobart, Tas, Australia</t>
  </si>
  <si>
    <t>Bureau of Meteorology - Australia</t>
  </si>
  <si>
    <t>Jacka, KJ (corresponding author), Antarctic CRC, GPO Box 252-80, Hobart, Tas 7001, Australia.</t>
  </si>
  <si>
    <t>WOS:000081545300005</t>
  </si>
  <si>
    <t>Simmonds, I; Murray, RJ; Leighton, RM</t>
  </si>
  <si>
    <t>A refinement of cyclone tracking methods with data from FROST</t>
  </si>
  <si>
    <t>METEOROLOGYS GLOBAL ASSIMILATION; SEA-LEVEL PRESSURE; SOUTHERN-HEMISPHERE; OBJECTIVE IDENTIFICATION; MONTHLY ANTICYCLONICITY; ANTARCTIC PENINSULA; PREDICTION SYSTEM; AUSTRALIAN REGION; CLIMATOLOGY; ASSOCIATIONS</t>
  </si>
  <si>
    <t>The Antarctic First Regional Observing Study of the Troposphere (FROST project had three one-month Special Observing Periods (SOPs) during which the commitment was made to ensure that all additional data collected were passed on via the Global Telecommunication System (GTS) to operational centres for use in the construction of the analyses. These analyses can be regarded as the best available for these times of year, given the special effort to include additional data south of 50 degrees S during these periods. The availability of these high-quality analyses has stimulated us to refine the Melbourne University numerical cyclone tracking algorithm, with additional synoptic guidance gained from a manual analysis of southern hemisphere cyclones in the winter SOP (July 1994). Using the refined scheme me have compiled and compared statistics of cyclone tracks obtained objectively from the Australian GASP (Global Assimilation and Prediction) system analyses and manually from semi-independent analyses. Our results show that the cyclones found by the numerical and manual approaches bear considerable similarity to each other, even for complex systems for which such unanimity might not have been expected. In general, the automatic algorithm tended to 'find' more systems than did the manual analyst, with these extra systems being predominantly those identified as weak and/or open. The results emphasise the difference in perception of what constitutes a low. The overall behaviour of cyclones revealed by the objective scheme in July 1994 was consistent with that identified in various climatologies in that many systems were generated in the western part of the ocean basins and moved to the east and, to a lesser extent, to the south. A concentration of tracks was found just to the north of the Antarctic continent. On the other hand, this specific month was anomalous in a number of respects; this was reflected in the nature and distribution of cyclone activity. The consistency of the findings with those of an experienced, practising synoptician means that the state-of-the-art numerical algorithm can be applied to numerical analyses and model output with confidence.</t>
  </si>
  <si>
    <t>Univ Melbourne, Sch Earth Sci, Parkville, Vic 3052, Australia; Bur Meteorol, Natl Metrol Operat Ctr, Melbourne, Vic, Australia</t>
  </si>
  <si>
    <t>University of Melbourne; Bureau of Meteorology - Australia</t>
  </si>
  <si>
    <t>Simmonds, I (corresponding author), Univ Melbourne, Sch Earth Sci, Parkville, Vic 3052, Australia.</t>
  </si>
  <si>
    <t>Simmonds, Ian/0000-0002-4479-3255</t>
  </si>
  <si>
    <t>WOS:000081545300006</t>
  </si>
  <si>
    <t>Pook, M; Gibson, T</t>
  </si>
  <si>
    <t>Atmospheric blocking and storm tracks during SOP-1 of the FROST Project</t>
  </si>
  <si>
    <t>METEOROLOGYS GLOBAL ASSIMILATION; SOUTHERN-HEMISPHERE; PREDICTION SYSTEM; ANNUAL CYCLE; EVOLUTION; BUREAU</t>
  </si>
  <si>
    <t>Atmospheric blocking is a significant feature of the winter circulation in the southern hemisphere. The frequency of blocking activity was at first found to reach a maximum in the Tasman Sea and New Zealand region during winter, but evidence is emerging of higher frequencies of blocking activity in the eastern Pacific. FROST, the Antarctic First Regional Observing Study of the Troposphere, provided an opportunity to study the effects of all sources of data (including 'late' observations) on meteorological analyses over the Southern Ocean and the Antarctic region, and the probable impacts of these data on the performance of numerical weather prediction models. The first of three special observing periods (SOPs) was held in July 1994. Analyses for this period (SOP-1) have demonstrated that atmospheric blocking was a significant feature in the Pacific sector of the Southern Ocean (150 degrees E - 75 degrees W) and that it had a major influence on the paths followed by cyclones, apparently contributing to the crossing of the Antarctic coast by vortices on several occasions. The blocking activity was evident in the eastern half of the Pacific (75 degrees W - 150 degrees W) during the first half of the month but relocated to the southwest Pacific (150 degrees W - 150 degrees E) towards the end of the month.</t>
  </si>
  <si>
    <t>Univ Tasmania, Antarctic CRC, Hobart, Tas 7001, Australia; Univ Tasmania, Inst Antarctic &amp; So Ocean Studies, Hobart, Tas 7001, Australia</t>
  </si>
  <si>
    <t>WOS:000081545300007</t>
  </si>
  <si>
    <t>Moen, J; Ingvarsson, PK; Walton, DWH</t>
  </si>
  <si>
    <t>Estimates of structural complexity in clonal plant morphology:: comparisons of grazed and ungrazed Acaena magellanica rhizomes</t>
  </si>
  <si>
    <t>CANADIAN JOURNAL OF BOTANY-REVUE CANADIENNE DE BOTANIQUE</t>
  </si>
  <si>
    <t>Acaena magellanica; fractal dimension; grazing; growth simulation; topology</t>
  </si>
  <si>
    <t>ROOT SYSTEMS; INTRODUCED REINDEER; FRACTAL DIMENSION; SOUTH-GEORGIA; ARCHITECTURE; VEGETATION; ECOLOGY</t>
  </si>
  <si>
    <t>The aim of this study is to examine the information given by various indices of rhizome morphology that describe grazed and ungrazed rhizome systems of Acaena magellanica (Rosaceae). Internode lengths, branching probabilities, and branching angles were estimated from grazed and ungrazed rhizomes in the field. These parameter values were then used in computer simulations of rhizome growth, and the structural complexity of the simulated rhizomes were described using size, topology, and fractal dimensions. Grazed rhizomes had shorter internodes, higher probabilities of branching, and more open branching angles than ungrazed rhizomes. This resulted in a more directional growth (herring-bone pattern) in the simulated ungrazed rhizomes, whereas the grazed rhizomes had a more space-filling growth pattern. Most indices, even though they are based on different mathematical and theoretical backgrounds, were highly correlated and thus equally good at describing the structural complexity exhibited by the rhizomes. However, indices have different relationships to theories about function, and we suggest that any study of structural complexity of branching systems should use several different indices of shape depending on the questions asked.</t>
  </si>
  <si>
    <t>Umea Univ, Dept Ecol &amp; Environm Sci, S-90187 Umea, Sweden; British Antarctic Survey, Cambridge CB3 0ET, England</t>
  </si>
  <si>
    <t>Umea University; UK Research &amp; Innovation (UKRI); Natural Environment Research Council (NERC); NERC British Antarctic Survey</t>
  </si>
  <si>
    <t>Moen, J (corresponding author), Umea Univ, Dept Ecol &amp; Environm Sci, S-90187 Umea, Sweden.</t>
  </si>
  <si>
    <t>Ingvarsson, Pär/G-2748-2010</t>
  </si>
  <si>
    <t>Ingvarsson, Pär/0000-0001-9225-7521; Walton, David/0000-0002-7103-4043</t>
  </si>
  <si>
    <t>0008-4026</t>
  </si>
  <si>
    <t>CAN J BOT</t>
  </si>
  <si>
    <t>Can. J. Bot.-Rev. Can. Bot.</t>
  </si>
  <si>
    <t>10.1139/b99-047</t>
  </si>
  <si>
    <t>251PP</t>
  </si>
  <si>
    <t>WOS:000083454300011</t>
  </si>
  <si>
    <t>Chessa, JP; Feller, G; Gerday, C</t>
  </si>
  <si>
    <t>Purification and characterization of the heat-labile α-amylase secreted by the psychrophilic bacterium TAC 240B</t>
  </si>
  <si>
    <t>CANADIAN JOURNAL OF MICROBIOLOGY</t>
  </si>
  <si>
    <t>alpha-amylase; psychrophilic microorganisms; Antarctic</t>
  </si>
  <si>
    <t>ANTARCTIC BACTERIA; PROLINE RESIDUES; COLD ADAPTATION; STABILITY; SEQUENCE; THERMOSTABILITY; SUBSTITUTIONS; TEMPERATURE; RESOLUTION; PROTEINS</t>
  </si>
  <si>
    <t>A total of 59 bacteria samples from Antarctic sea water were collected and screened for their ability to produce alpha-amylase. The highest activity was recorded from an isolate identified as an Alteromonas species. The purified alpha-amylase shows a molecular mass of about 50 000 Da and a pi of 5.2. The enzyme is stable from pH 7.5 to 9 and has a maximal activity at pH 7.5. Compared with other alpha-amylases from mesophiles and thermophiles, the cold enzyme displays a higher activity at low temperature and a lower stability at high temperature. The psychrophilic alpha-amylase requires both Cl- and Ca2+ for its amylolytic activity. Br- is also quite effecient as an allosteric effector. The comparison of the amino acid composition with those of other alpha-amylases from various organisms shows that the cold alpha-amylase has the lowest content in Arg and Pro residues. This could be involved in the principle used by the psychrophilic enzyme to adapt its molecular structure to the low temperature of the environment.</t>
  </si>
  <si>
    <t>Univ Liege, Inst Chem B6, Biochem Lab, B-4000 Liege, Belgium</t>
  </si>
  <si>
    <t>Univ Liege, Inst Chem B6, Biochem Lab, B-4000 Liege, Belgium.</t>
  </si>
  <si>
    <t>0008-4166</t>
  </si>
  <si>
    <t>1480-3275</t>
  </si>
  <si>
    <t>CAN J MICROBIOL</t>
  </si>
  <si>
    <t>Can. J. Microbiol.</t>
  </si>
  <si>
    <t>10.1139/cjm-45-6-452</t>
  </si>
  <si>
    <t>Biochemistry &amp; Molecular Biology; Biotechnology &amp; Applied Microbiology; Immunology; Microbiology</t>
  </si>
  <si>
    <t>222MF</t>
  </si>
  <si>
    <t>WOS:000081788800003</t>
  </si>
  <si>
    <t>Rao, CP</t>
  </si>
  <si>
    <t>Cold water polar aragonitic bivalve elemental composition, East Antarctica</t>
  </si>
  <si>
    <t>CARBONATES AND EVAPORITES</t>
  </si>
  <si>
    <t>CARBONATE SEDIMENTATION; CALCITE PRECIPITATION; SHELF; TEMPERATURE; AUSTRALIA; SEAWATER; TASMANIA; PERSPECTIVE; OVERGROWTHS; SALINITY</t>
  </si>
  <si>
    <t>Aragonitic bivalves and abiotic aragonite are common in cold water Antarctic environments. Aragonitic bivalves have lower Mg, Sr, Fe and Mn and higher Na concentrations than those in abiotic polar aragonite. MgCO3 values in polar aragonitic bivalves and abiotic aragonite are related to pCO(2). Sr values vary with aragonite types, seawater temperature and seawater content in the fluid precipitating aragonite. Abiotic polar aragonite contains much larger concentrations of Fe and Mn than those in aragonitic polar bivalves because abiotic aragonite formed subglacially below the zone of O-2 minimum at very shallow water. depths. Na values in aragonitic bivalves are indicative of both salinity and rates of crystal growth, whereas Na values in abiotic aragonite decrease with decreasing salinity. The concentrations of Mn,Na and Sr indicate that aragonitic bivalves formed faster than abiotic aragonite. The abiotic aragonite forms rapidly and precipitates significant amount in less than a year. This comparative study enables an understanding of cold water polar biotic and abiotic aragonites related to environment, water temperature, ice cover, pCO(2) levels, redox potential, meltwater dilution, salinity and rate of carbonate formation. These aspects are essential in understanding modem and ancient glacial sedimentation and diagenesis.</t>
  </si>
  <si>
    <t>Univ Tasmania, Sch Earth Sci, Hobart, Tas 7001, Australia</t>
  </si>
  <si>
    <t>Univ Tasmania, Sch Earth Sci, GPO Box 252-79, Hobart, Tas 7001, Australia.</t>
  </si>
  <si>
    <t>0891-2556</t>
  </si>
  <si>
    <t>1878-5212</t>
  </si>
  <si>
    <t>CARBONATE EVAPORITE</t>
  </si>
  <si>
    <t>Carbonates Evaporites</t>
  </si>
  <si>
    <t>10.1007/BF03176148</t>
  </si>
  <si>
    <t>203DE</t>
  </si>
  <si>
    <t>WOS:000080691700005</t>
  </si>
  <si>
    <t>Roncaglia, L; Field, BD; Raine, JI; Schioler, P; Wilson, GJ</t>
  </si>
  <si>
    <t>Dinoflagellate biostratigraphy of Piripauan-Haumurian (Upper Cretaceous) sections from northeast South Island, New Zealand</t>
  </si>
  <si>
    <t>CRETACEOUS RESEARCH</t>
  </si>
  <si>
    <t>New Zealand; Upper Cretaceous; Piripauan; Haumurian; Coniacian; Santonian; Campanian; Maastrichtian; biostratigraphy; dinoflagellates; palaeoenvironment; palynomorphs; zonation</t>
  </si>
  <si>
    <t>ANTARCTIC PENINSULA; STRATIGRAPHY; SEDIMENTS; BOUNDARY; AREA</t>
  </si>
  <si>
    <t>Palynological analysis of two sections at Haumuri Bluff and Conway River (southern Marlborough, New Zealand), and three sections in the Waipara area (northern Canterbury, New Zealand), of Piripauan-Haumurian age (Late Cretaceous), shows that: (1) in southern Marlborough the Okarahia Sandstone was deposited in a marginal marine nearshore environment, and the overlying Tarapuhi Grit, Conway Siltstone and Claverley Sandstone were deposited in open marine environments with considerable influx of terrestrial organic material; (2) in northern Canterbury the Broken River Formation is mainly non-marine, with minor marine incursions indicated by the low diversity dinoflagellate assemblages; the overlying Conway Siltstone was deposited in a marginal marine, nearshore environment. A qualitative analysis of the dinoflagellate assemblages shows that in the type section for the Piripauan and Haumurian stages (Haumuri Bluff, southern Marlborough), the Piripauan Okarahia Sandstone is of late Coniacian to early Santonian age, and the Haumurian Tarapuhi Grit is of early to mid Campanian age. Hence, the Piripauan Stage stratotype and the base of the Haumurian Stage stratotype are separated by an unconformity encompassing the mid-upper Santonian. In southern Marlborough, the Haumurian Conway Siltstone and the lower part of the Claverley Sandstone together span the Campanian. In northern Canterbury, the Haumurian Broken River Formation is of mid to late Campanian age; the base of the overlying Conway Siltstone is here of late Campanian to early Maastrichtian age; the top of the Conway Siltstone is of latest early to late Maastrichtian age. The following succession of dinoflagellate zones is recognised in the sections: Conosphaeridium abbreviatum Interval Zone (late Coniacian-early Santonian), Odontochitina porifera Interval Zone (early Santonian), Satyrodinium haumuriense Interval Zone (early to mid Campanian), Isabelidinium korojonense Interval Zone (new definition) (mid-late Campanian), I. pellucidum Interval Zone (mid-late Campanian), Alterbidinium acutulum Interval Zone (late Campanian-early Maastrichtian) and Manumiella druggii Zone (latest early to late Maastrichtian). The S, haumuriense Interval Zone is subdivided into three subzones: Trithyrodinium suspectum Interval Subzone, Vozzhennikovia spinulosa Interval Subzone and Canninginopsis bretonica Interval Subzone. The A. acutulum Interval Zone is subdivided into two subzones: Cerodinium diebelii Interval Subzone and Palaeocystodinium granulatum Interval Subzone. Four new dinoflagellate species are described: Alterbidinium longicornutum sp. nov., Batiacasphaera grandis sp. nov., Diconodinium vitricornu sp. nov., and Isabelidinium brunae sp. nov. (C) 1999 Academic Press.</t>
  </si>
  <si>
    <t>Univ Modena &amp; Reggio Emilia, Dipartimento Sci Terra, I-41100 Modena, Italy; Gracefield Res Ctr, Inst Geol &amp; Nucl Sci, IGNS, Lower Hutt, New Zealand; Geol Survey Denmark &amp; Greenland, GEUS, DK-2400 Copenhagen NV, Denmark</t>
  </si>
  <si>
    <t>Universita di Modena e Reggio Emilia; GNS Science - New Zealand; Geological Survey Of Denmark &amp; Greenland</t>
  </si>
  <si>
    <t>Roncaglia, L (corresponding author), Geol Survey Denmark &amp; Greenland, GEUS, Thoravej 8, DK-2400 Copenhagen NV, Denmark.</t>
  </si>
  <si>
    <t>Field, Brad D/F-1062-2011; Raine, James I/D-5124-2009</t>
  </si>
  <si>
    <t>Raine, James Ian/0000-0001-5294-2102; Field, Bradley/0000-0001-5254-6636</t>
  </si>
  <si>
    <t>0195-6671</t>
  </si>
  <si>
    <t>CRETACEOUS RES</t>
  </si>
  <si>
    <t>Cretac. Res.</t>
  </si>
  <si>
    <t>10.1006/cres.1999.0153</t>
  </si>
  <si>
    <t>Geology; Paleontology</t>
  </si>
  <si>
    <t>213PT</t>
  </si>
  <si>
    <t>WOS:000081283000002</t>
  </si>
  <si>
    <t>Nichols, D; Bowman, J; Sanderson, K; Nichols, CM; Lewis, T; McMeekin, T; Nichols, PD</t>
  </si>
  <si>
    <t>Developments with Antarctic microorganisms: culture collections, bioactivity screening, taxonomy, PUFA production and cold-adapted enzymes</t>
  </si>
  <si>
    <t>CURRENT OPINION IN BIOTECHNOLOGY</t>
  </si>
  <si>
    <t>POLYUNSATURATED FATTY-ACIDS; SP. NOV.; SEA-ICE; EICOSAPENTAENOIC ACID; GEN. NOV.; PSYCHROPHILIC BACTERIUM; DOCOSAHEXAENOIC ACID; BRACHIONUS-PLICATILIS; MARINE-BACTERIA; DIESEL-OIL</t>
  </si>
  <si>
    <t>There have been recent research developments with Antarctic prokaryotes in the areas of isolations of novel bacteria, culture collections, bioactivity screening, taxonomy, production of polyunsaturated fatty acids (PUFAs), cold-adapted enzymes and bioremediation, Research to date confirms the novelty of bacteria isolated from this extreme environment, Opportunities now exist to exploit these and other findings to develop possible new biotechnological products from Antarctic microorganisms.</t>
  </si>
  <si>
    <t>Antarctic CRC, Hobart, Tas 7001, Australia; Univ Tasmania, Sch Agr Sci, Hobart, Tas 7001, Australia; CSIRO, Hobart, Tas 7000, Australia</t>
  </si>
  <si>
    <t>Antarctic CRC, Hobart, Tas 7001, Australia.</t>
  </si>
  <si>
    <t>peter.nichols@marine.csiro.au</t>
  </si>
  <si>
    <t>Nichols, Carol/C-2290-2008; Bowman, John P./ABF-5108-2020; Nichols, Peter D/C-5128-2011; Bowman, John P/C-2414-2014</t>
  </si>
  <si>
    <t>Nichols, Carol/0000-0002-2739-4690; Bowman, John P./0000-0002-4528-9333; Bowman, John P/0000-0002-4528-9333; Nichols, David/0000-0002-8066-3132</t>
  </si>
  <si>
    <t>0958-1669</t>
  </si>
  <si>
    <t>1879-0429</t>
  </si>
  <si>
    <t>CURR OPIN BIOTECH</t>
  </si>
  <si>
    <t>Curr. Opin. Biotechnol.</t>
  </si>
  <si>
    <t>10.1016/S0958-1669(99)80042-1</t>
  </si>
  <si>
    <t>Biochemical Research Methods; Biotechnology &amp; Applied Microbiology</t>
  </si>
  <si>
    <t>Biochemistry &amp; Molecular Biology; Biotechnology &amp; Applied Microbiology</t>
  </si>
  <si>
    <t>200LJ</t>
  </si>
  <si>
    <t>WOS:000080541500006</t>
  </si>
  <si>
    <t>Smith, DA; Hofmann, EE; Klinck, JM; Lascara, CM</t>
  </si>
  <si>
    <t>Hydrography and circulation of the west Antarctic Peninsula continental shelf</t>
  </si>
  <si>
    <t>BRANSFIELD STRAIT; WATER MASSES; SOUTHERN-OCEAN; VARIABILITY; REGION; ICE</t>
  </si>
  <si>
    <t>The water mass structure and circulation of the continental shelf waters west of the Antarctic Peninsula are described from hydrographic observations made in March-May 1993. The observations cover an area that extends 900 km alongshore and 200 km offshore and represent the most extensive hydrographic data set currently available for this region. Waters above 100-150 m are composed of Antarctic Surface Water and its end member Winter Water. Below the permanent pycnocline is a modified version of Circumpolar Deep Water, which is a cooled and freshened version of Upper Circumpolar Deep Water. The distinctive signature of cold and salty water from the Bransfield Strait is found at some inshore locations: but there is little indication of significant exchange between Bransfield Strait and the west Antarctic Peninsula shelf. Dynamic topography at 200 m relative to 400 m indicates that the baroclinic circulation on the shelf is composed of a large, weak, cyclonic gyre, with sub-gyres at the northeastern and southwestern ends of the shelf. The total transport of the shelf gyre is 0.15 Sv, with geostrophic currents of order 0.01 m s(-1). A simple model that balances across-shelf diffusion of heat and salt from offshore Upper Circumpolar Deep Water with vertical diffusion of heat and salt across the permanent pycnocline into Winter Water is used to explain the formation of the modified Circumpolar Deep Water that is found on the shelf. Model results show that the observed thermohaline distributions across the shelf can be maintained with a coefficient of vertical diffusion of 10(-4) m(2) s(-1) and horizontal diffusion coefficients for heat and salt of 200 and 1200 m(2) s(-1), respectively. When the effects of double diffusion are included in the model, the required horizontal diffusion coefficients for heat and salt are 200 and 400 m(2) s(-1), respectively. (C) 1999 Elsevier Science Ltd. All rights reserved.</t>
  </si>
  <si>
    <t>Old Dominion Univ, Ctr Coastal Phys Oceanog, Norfolk, VA 23529 USA</t>
  </si>
  <si>
    <t>Old Dominion University</t>
  </si>
  <si>
    <t>Hofmann, EE (corresponding author), Old Dominion Univ, Ctr Coastal Phys Oceanog, Crittenton Hall, Norfolk, VA 23529 USA.</t>
  </si>
  <si>
    <t>Klinck, John/0000-0003-4312-5201</t>
  </si>
  <si>
    <t>10.1016/S0967-0637(98)00103-4</t>
  </si>
  <si>
    <t>198WE</t>
  </si>
  <si>
    <t>WOS:000080446600001</t>
  </si>
  <si>
    <t>Lascara, CM; Hofmann, EE; Ross, RM; Quetin, LB</t>
  </si>
  <si>
    <t>Seasonal variability in the distribution of Antarctic krill, Euphausia superba, west of the Antarctic Peninsula</t>
  </si>
  <si>
    <t>NORTHERN WEDDELL SEA; CONTINENTAL-SHELF; AUSTRAL SUMMER; ICE; ABUNDANCE; WINTER; ZONE; AGGREGATIONS; BEHAVIOR; STRAIT</t>
  </si>
  <si>
    <t>A unique Antarctic data set from four multidisciplinary cruises (spring, Nov 1991; summer, Jan-Feb 1993; fall, Mar-May 1993; winter, Aug-Sept 1993) was analyzed to provide a description of seasonal variability in the distribution and abundance of Antarctic krill, Euphausia superba, west of the Antarctic Peninsula. Analyses of acoustic observations revealed distinct seasonal variations in estimates of krill abundance, the dimensional parameters used to characterize individual krill aggregations, the geographic area over which krill were acoustically detected, and the depth distribution of krill biomass. Spatially averaged estimates of krill biomass were an order of magnitude higher in spring (32 g m(-2)) and summer (95 g m(-2)) compared to fall (12 g m(-2)) and winter (8 g m(-2)). In summer, krill were detected throughout the region and most of the krill biomass was associated with aggregations of small cross-sectional area (&lt; 2000 m(2)) and high mean biomass (&gt; 150 g m(-3)), which were positioned in the upper 50 m of the water column. Winter observations, in contrast, were characterized by the absence of krill throughout most of the region and aggregations occurring deeper than 100 m with large cross-sectional area (&gt;10000 m(2)) and low mean biomass (&lt;10 g m(-3)). Two features common to all seasons were the presence of higher krill biomass (&gt; 50 g m(-2)) at selected locations on the inner shelf and the disproportionate contribution, in terms of total krill biomass (&gt;80%), by a small number of aggregations (&lt;20%). The length frequency distributions of krill collected by nets showed an across-shelf pattern of larger (&gt;40 mm) krill positioned offshore of smaller krill (32-38 mm) in all seasons except winter. Synthesis of these data and historical observations suggest that there is a seasonal shift in the primary habitat of krill and that changes in krill behavior are an important factor affecting variations in krill distributions. (C) 1999 Elsevier Science Ltd. All rights reserved.</t>
  </si>
  <si>
    <t>Old Dominion Univ, Ctr Coastal Phys Oceanog, Norfolk, VA 23529 USA; Univ Calif Santa Barbara, Inst Marine Sci, Santa Barbara, CA 93106 USA</t>
  </si>
  <si>
    <t>Old Dominion University; University of California System; University of California Santa Barbara</t>
  </si>
  <si>
    <t>Lascara, CM (corresponding author), Old Dominion Univ, Ctr Coastal Phys Oceanog, Norfolk, VA 23529 USA.</t>
  </si>
  <si>
    <t>10.1016/S0967-0637(98)00099-5</t>
  </si>
  <si>
    <t>WOS:000080446600002</t>
  </si>
  <si>
    <t>Todd, FS; Splettstoesser, JF; Ledingham, R; Gavrilo, M</t>
  </si>
  <si>
    <t>Observations in some Emperor Penguin Aptenodytes forsteri colonies in east Antarctica</t>
  </si>
  <si>
    <t>Ecocepts Int, San Diego, CA 92123 USA; Australian Antarctic Div, Kingston, Tas 7050, Australia; Arctic &amp; Antarctic Res Inst, St Petersburg 199226, Russia</t>
  </si>
  <si>
    <t>Australian Antarctic Division; Arctic &amp; Antarctic Research Institute</t>
  </si>
  <si>
    <t>Todd, FS (corresponding author), Ecocepts Int, 8958 Kobe Way, San Diego, CA 92123 USA.</t>
  </si>
  <si>
    <t>Gavrilo, Maria V/R-7091-2016</t>
  </si>
  <si>
    <t>Gavrilo, Maria V/0000-0002-3500-9617</t>
  </si>
  <si>
    <t>10.1071/MU99017A</t>
  </si>
  <si>
    <t>204WK</t>
  </si>
  <si>
    <t>WOS:000080788200007</t>
  </si>
  <si>
    <t>Roberts, EC; Laybourn-Parry, J</t>
  </si>
  <si>
    <t>Mixotrophic cryptophytes and their predators in the Dry Valley lakes of Antarctica</t>
  </si>
  <si>
    <t>Antarctic lakes; ciliates; cryptoyhytes; mixotrophy; survival strategy</t>
  </si>
  <si>
    <t>METALIMNETIC CRYPTOMONAS POPULATION; ICE-COVERED LAKE; POTERIOOCHROMONAS-MALHAMENSIS; CHLOROPHYLL MAXIMUM; VERTICAL MIGRATION; EUTROPHIC LAKE; PHYTOPLANKTON; DYNAMICS; BACTERIVORY; INGESTION</t>
  </si>
  <si>
    <t>1. The ingestion rates of planktonic, mixotrophic cryptophytes in two perennially ice-covered Antarctic lakes in the McMurdo Dry Valleys, were investigated during the summer of 1997-1998. 2. In Lake Fryxell, which is meromictic, ingestion rates increased with depth in November and were highest in a cryptophyte maximum close to the chemocline. In Lake Hoare, which is unstratified and freshwater, there was no significant difference in ingestion rates with depth. In both lakes, the highest ingestion rates occurred in early summer, decreasing in December and January. Ingestion rates varied between 0.2 bacteria cell(-1) h(-1) and 3.6 bacteria cell(-1) h(-1). 3. During November, mixotrophic cryptophytes removed up to 13% of bacterial biomass day(-1) and had a greater grazing impact than heterotrophic nanoflagellates (HNAN). As summer progressed, the grazing impact of cryptophytes and HNAN became similar. 4. The maximum depth of cryptophytes in Lake Fryxell was predated by a population of the ciliate Plagiocampa. Plagiocampa had an ingestion rate of 0.13-0.19 cryptophytes cell(-1) h(-1). The grazing impact on the cryptophyte community was insignificant. However, the ciliate appeared to be indulging in temporary mixotrophy, sequestering the cryptophytes for a number of weeks before digesting them. 5. It is suggested that mixotrophy is an important survival strategy in the extreme lake ecosystems of the McMurdo Dry Valleys.</t>
  </si>
  <si>
    <t>Univ Nottingham, Div Environm Sci, Sch Biol Sci, Loughborough LE12 5RD, Leics, England.</t>
  </si>
  <si>
    <t>sbxecr@sbn2.phes.nottingham.ac.uk</t>
  </si>
  <si>
    <t>10.1046/j.1365-2427.1999.00401.x</t>
  </si>
  <si>
    <t>224ZJ</t>
  </si>
  <si>
    <t>WOS:000081929600007</t>
  </si>
  <si>
    <t>Frank, M; O'Nions, RK; Hein, JR; Banakar, VK</t>
  </si>
  <si>
    <t>60 Myr records of major elements and Pb-Nd isotopes from hydrogenous ferromanganese crusts: Reconstruction of seawater paleochemistry</t>
  </si>
  <si>
    <t>FE-MN CRUSTS; CENTRAL PACIFIC SEAWATER; DEEP-OCEAN WATER; MANGANESE NODULES; NORTH-ATLANTIC; INDIAN-OCEAN; GROWTH-RATES; COBALT-RICH; NE ATLANTIC; SEA-FLOOR</t>
  </si>
  <si>
    <t>We compare the time series of major element geochemical and Pb- and Nd-isotopic composition obtained for seven hydrogenous ferromanganese crusts from the Atlantic, Indian, and Pacific Oceans which cover the last 60 Myr. Average crust growth rates and age-depth relationships were determined directly for the last about 10 Myr using Be-10/Be-9 profiles. In the absence of other information these were extrapolated to the base of the crusts assuming constant growth rates and constant initial Be-10/Be-9 ratios due to the lack of additional information. Co contents have also been used previously to estimate growth rates in Co-rich Pacific and Atlantic seamount crusts (Puteanus and Halbach, 1988). A comparison of Be-10/Be-9- and Co-based dating of three Co-rich crusts supports the validity of this approach and confirms the earlier chronologies derived from extrapolated Be-10/Be-9-based growth rates back to 60 Ma. Our data show that the flux of Co into Co-poor crusts has been considerably lower. The relationship between growth rate and Co content for the Co-poor crusts developed from these data is in good agreement with a previous study of a wider range of marine deposits (Manheim, 1986). The results suggest that the Co content provides detailed information on the growth history of ferromanganese crusts, particularly prior to 10-12 Ma where the Be-10-based method is not applicable. The distributions of Pb and Nd isotopes in the deep oceans over the last 60 Myr are expected to be controlled by two main factors: (a) variations of oceanic mixing patterns and flow paths of water masses with distinct isotopic signatures related to major paleogeographic changes and (b) variability of supply rates or provenance of detrital material delivered to the ocean, linked to climate change (glaciations) or major tectonic uplift. The major element profiles of crusts in this study show neither systematic features which are common to crusts with similar isotope records nor do they generally show coherent relationships to the isotope records within a single crust. Consequently, any interpretation of time series of major element concentrations of a single crust in terms of paleoceanograghic variations must be considered with caution. This is because local processes appear to have dominated over more basin wide paleoceanographic effects. In this study Co is the only element which shows a relationship to Pb and Nd isotopes in Pacific crusts. A possible link to changes of Pacific deep water properties associated with an enhanced northward advection of Antarctic bottom water from about 14 Ma is consistent with the Pb but not with the Nd isotopic results. The self-consistent profiles of the Pb and Nd isotopes suggest that postdepositional diagenetic processes in hydrogenous crusts, including phosphatization events, have been insignificant for particle reactive elements such as Pb, Be, and Nd. Isotope time series of Pb and Nd show no systematic relationships with major element contents of the crusts, which supports their use as tracers of paleo-seawater isotopic composition. Copyright (C) 1999 Elsevier Science Ltd.</t>
  </si>
  <si>
    <t>Univ Oxford, Dept Earth Sci, Oxford OX1 3PR, England; US Geol Survey, Menlo Park, CA 94024 USA; Natl Inst Oceanog, Panaji 403004, Goa, India</t>
  </si>
  <si>
    <t>University of Oxford; United States Department of the Interior; United States Geological Survey; Council of Scientific &amp; Industrial Research (CSIR) - India; CSIR - National Institute of Oceanography (NIO)</t>
  </si>
  <si>
    <t>Frank, M (corresponding author), ETH Zurich, Inst Isotope Geol &amp; Mineral Resources, Dept Earth Sci, NO C61,Sonneggstr 5, CH-8092 Zurich, Switzerland.</t>
  </si>
  <si>
    <t>Hein, James/R-7123-2019</t>
  </si>
  <si>
    <t>Frank, Martin/0000-0002-8606-4421</t>
  </si>
  <si>
    <t>11-12</t>
  </si>
  <si>
    <t>10.1016/S0016-7037(99)00079-4</t>
  </si>
  <si>
    <t>227KT</t>
  </si>
  <si>
    <t>WOS:000082080100007</t>
  </si>
  <si>
    <t>Fyfe, JC; Boer, GJ; Flato, GM</t>
  </si>
  <si>
    <t>The Arctic and Antarctic oscillations and their projected changes under global warming</t>
  </si>
  <si>
    <t>STRATOSPHERIC CIRCULATION; INTERANNUAL VARIABILITY; NORTHERN-HEMISPHERE; SULFATE AEROSOLS; WINTER; CLIMATE</t>
  </si>
  <si>
    <t>The Arctic Oscillation (AO) and the Antarctic Oscillation (AAO) are the leading modes of high-latitude variability in each hemisphere as characterized by the first EOF of mean sea-level pressure. Observations suggest a recent positive trend in the AO and it is speculated that this may be related to global warming. The CCCma coupled general circulation model control simulation exhibits a robust and realistic AO and AAO. Climate change simulations for the period 1900-2100, with forcing due to greenhouse gases and aerosols, exhibit positive trends in both the AO and the AAO. The model simulates essentially unchanged AO/AAO variations superimposed on a forced climate change pattern. The results do not suggest that a simulated trend in the AO/AAO necessarily depends on stratospheric involvement nor that forced climate change will be expressed as a change in the occurence of one phase of the AO/AAO over another. This pattern of climate change projects exclusively on the AAO pattern in the southern hemisphere but not in the northern hemisphere where other EOFs are involved. The extent to which this forced climate change pattern and the unforced modes of variation are determined by the same mechanisms and feedbacks remains an open question.</t>
  </si>
  <si>
    <t>Univ Victoria, Canadian Ctr Climate Modelling &amp; Anal, Atmospher Environm Serv, Victoria, BC V8W 2Y2, Canada</t>
  </si>
  <si>
    <t>Environment &amp; Climate Change Canada; Canadian Centre for Climate Modelling &amp; Analysis (CCCma); Meteorological Service of Canada; University of Victoria</t>
  </si>
  <si>
    <t>Fyfe, JC (corresponding author), Univ Victoria, Canadian Ctr Climate Modelling &amp; Anal, Atmospher Environm Serv, POB 1700, Victoria, BC V8W 2Y2, Canada.</t>
  </si>
  <si>
    <t>boer, george/AAB-1269-2021; Flato, Gregory M/K-6711-2015</t>
  </si>
  <si>
    <t>JUN 1</t>
  </si>
  <si>
    <t>10.1029/1999GL900317</t>
  </si>
  <si>
    <t>202PG</t>
  </si>
  <si>
    <t>WOS:000080660900023</t>
  </si>
  <si>
    <t>Kettle, AJ; Andreae, MO; Amouroux, D; Andreae, TW; Bates, TS; Berresheim, H; Bingemer, H; Boniforti, R; Curran, MAJ; DiTullio, GR; Helas, G; Jones, GB; Keller, MD; Kiene, RP; Leck, C; Levasseur, M; Malin, G; Maspero, M; Matrai, P; McTaggart, AR; Mihalopoulos, N; Nguyen, BC; Novo, A; Putaud, JP; Rapsomanikis, S; Roberts, G; Schebeske, G; Sharma, S; Simó, R; Staubes, R; Turner, S; Uher, G</t>
  </si>
  <si>
    <t>A global database of sea surface dimethylsulfide (DMS) measurements and a procedure to predict sea surface DMS as a function of latitude, longitude, and month</t>
  </si>
  <si>
    <t>GLOBAL BIOGEOCHEMICAL CYCLES</t>
  </si>
  <si>
    <t>NORTH-ATLANTIC OCEAN; CHARACTERIZATION EXPERIMENT ACE-1; BIOGENIC SULFUR EMISSIONS; EQUATORIAL PACIFIC-OCEAN; MARINE BOUNDARY-LAYER; SOUTHERN INDIAN-OCEAN; DIMETHYLSULFONIOPROPIONATE DMSP; SEASONAL-VARIATION; CLOUD ALBEDO; BETA-DIMETHYLSULPHONIOPROPIONATE</t>
  </si>
  <si>
    <t>A database of 15,617 point measurements of dimethylsulfide (DMS) in surface waters along with lesser amounts of data for aqueous and particulate dimethylsulfoniopropionate concentration, chlorophyll concentration, sea surface salinity and temperature, and wind speed has been assembled. The database was processed to create a series of climatological annual and monthly 1 degrees x1 degrees latitude-longitude squares of data. The results were compared to published fields of geophysical and biological parameters. No significant correlation was found between DMS and these parameters, and no simple algorithm could be found to create monthly fields of sea surface DMS concentration based on these parameters. Instead, an annual map of sea surface DMS was produced using an algorithm similar to that employed by Conkright et al. [1994]. In this approach, a first-guess field of DMS sea surface concentration measurements is created and then a correction to this field is generated based on actual measurements. Monthly sea surface grids of DMS were obtained using a similar scheme, but the sparsity of DMS measurements made the method difficult to implement. A scheme was used which projected actual data into months of the year where no data were otherwise present.</t>
  </si>
  <si>
    <t>Max Planck Inst Chem, Biogeochem Dept, D-55020 Mainz, Germany; Univ Pau &amp; Pays Adour, CNRS, Lab Chim Analyt Bioinorgan &amp; Environm, F-64053 Pau 9, France; NOAA, Pacific Marine Environm Lab, Seattle, WA 98115 USA; MOHp, DWD, D-82383 Hohenpeisenberg, Germany; Univ Frankfurt, D-60325 Frankfurt, Germany; ENEA, Ctr Ric Ambiente Marino, I-19100 La Spezia, Italy; Univ Tasmania, Antarct CRC &amp; Australian Antarct Div, Hobart, Tas 7001, Australia; Univ Charleston, Grice Marine Lab, Charleston, SC 29412 USA; James Cook Univ N Queensland, Townsville, Qld 4811, Australia; Bigelow Lab Ocean Sci, Boothbay Harbor, ME 04575 USA; Univ S Alabama, Dept Marine Sci, Mobile, AL 36688 USA; Univ Stockholm, Dept Meteorol, S-10691 Stockholm, Sweden; Minist Peches &amp; Oceans, Inst Maurice Lamontagne, Mt Joli, PQ G5H 3Z4, Canada; Univ E Anglia, Norwich NR4 7TJ, Norfolk, England; CISE SpA, Milan, Italy; Australian Antarctic Div, Kingston, Tas 7150, Australia; Univ Crete, GR-71409 Iraklion, Greece; CEN Saclay, CNRS, CEA,DSM,LSCE Uniti Mixte Rech, Lab Sci Climat &amp; Environm, F-91191 Gif Sur Yvette, France; Commiss European Communities, Joint Res Ctr, I-21020 Ispra, Italy; Atmospher Environm Serv, Toronto, ON M3H 5T4, Canada; Inst Ciencias Mar, E-08039 Barcelona, Catalonia, Spain; Univ Newcastle Upon Tyne, Newcastle Upon Tyne NE1 7RU, Tyne &amp; Wear, England</t>
  </si>
  <si>
    <t>Max Planck Society; Universite de Pau et des Pays de l'Adour; Centre National de la Recherche Scientifique (CNRS); National Oceanic Atmospheric Admin (NOAA) - USA; Goethe University Frankfurt; Italian National Agency New Technical Energy &amp; Sustainable Economics Development; Australian Antarctic Division; University of Tasmania; College of Charleston; James Cook University; Bigelow Laboratory for Ocean Sciences; University of South Alabama; Stockholm University; Fisheries &amp; Oceans Canada; University of East Anglia; Australian Antarctic Division; University of Crete; Universite Paris Saclay; CEA; Centre National de la Recherche Scientifique (CNRS); European Commission Joint Research Centre; EC JRC ISPRA Site; Environment &amp; Climate Change Canada; Meteorological Service of Canada; Consejo Superior de Investigaciones Cientificas (CSIC); CSIC - Centro Mediterraneo de Investigaciones Marinas y Ambientales (CMIMA); CSIC - Instituto de Ciencias del Mar (ICM); Newcastle University - UK</t>
  </si>
  <si>
    <t>Kettle, AJ (corresponding author), Max Planck Inst Chem, Biogeochem Dept, POB 3060, D-55020 Mainz, Germany.</t>
  </si>
  <si>
    <t>Malin, Gill/C-6985-2009; Mihalopoulos, Nikolaos/H-5327-2016; Bates, Timothy S/L-6080-2016; Berresheim, Harald/F-9670-2011; RAPSOMANIKIS, SPYRIDON/GRO-5661-2022; S., Rapsomanikis/AAM-8686-2021; Uher, Guenther/AAC-7920-2022; Mihalopoulos, Nikolaos/ABF-2255-2020; Andreae, Meinrat/B-1068-2008</t>
  </si>
  <si>
    <t>Mihalopoulos, Nikolaos/0000-0002-1282-0896; RAPSOMANIKIS, SPYRIDON/0000-0002-7883-0894; Uher, Guenther/0000-0001-5105-4445; Simo, Rafel/0000-0003-3276-7663; Amouroux, David/0000-0002-0056-8590; Andreae, Meinrat/0000-0003-1968-7925; Malin, Gill/0000-0002-3639-9215; Roberts, Greg/0000-0002-3636-8590; Jones, Graham/0000-0002-2815-6395</t>
  </si>
  <si>
    <t>0886-6236</t>
  </si>
  <si>
    <t>GLOBAL BIOGEOCHEM CY</t>
  </si>
  <si>
    <t>Glob. Biogeochem. Cycle</t>
  </si>
  <si>
    <t>10.1029/1999GB900004</t>
  </si>
  <si>
    <t>Environmental Sciences; Geosciences, Multidisciplinary; Meteorology &amp; Atmospheric Sciences</t>
  </si>
  <si>
    <t>Environmental Sciences &amp; Ecology; Geology; Meteorology &amp; Atmospheric Sciences</t>
  </si>
  <si>
    <t>213GQ</t>
  </si>
  <si>
    <t>WOS:000081264700009</t>
  </si>
  <si>
    <t>Dickey, JO; Bentley, CR; Bilham, R; Carton, JA; Eanes, RJ; Herring, TA; Kaula, WM; Lagerloef, GSE; Rojstaczer, S; Smith, WHF; van den Dool, HM; Wahr, JM; Zuber, MT</t>
  </si>
  <si>
    <t>Gravity and the hydrosphere: new frontier</t>
  </si>
  <si>
    <t>HYDROLOGICAL SCIENCES JOURNAL-JOURNAL DES SCIENCES HYDROLOGIQUES</t>
  </si>
  <si>
    <t>ICE-SHEET; OCEAN; MODEL</t>
  </si>
  <si>
    <t>Satellite gravity measurements expected in the next few years will provide unprecedented views of the Earth's gravity field and, given sufficient duration, its changes with time. Gravity changes directly reflect changes in the masses of the ocean (thus allowing the separation of steric (heat induced) and non-steric contributions to sea-level rise), the Greenland and Antarctic ice sheets, and the water stored in the continents. Not only can measurements of those changes provide a truly global integrated view of the Earth, they have, at the same time, sufficient spatial resolution to aid in the study Of individual regions of the Earth. These data should yield information on water cycling previously unobtainable and be useful to both fundamental studies of the hydrologic cycle and practical assessments of water availability and distribution. Together with complementary geophysical data, satellite gravity data represent a new frontier in studies of the Earth and its fluid envelope.</t>
  </si>
  <si>
    <t>CALTECH, Jet Prop Lab, Pasadena, CA 91109 USA</t>
  </si>
  <si>
    <t>Dickey, JO (corresponding author), CALTECH, Jet Prop Lab, 4800 Oak Grove Dr, Pasadena, CA 91109 USA.</t>
  </si>
  <si>
    <t>carton, james/C-4807-2009; Smith, Walter H F/AAM-6681-2020; Key, Jeffrey R./AAB-7248-2020</t>
  </si>
  <si>
    <t>carton, james/0000-0003-0598-5198; Smith, Walter H F/0000-0002-8814-015X; Herring, Thomas/0000-0002-6030-0545; Bilham, Roger/0000-0002-5547-4102</t>
  </si>
  <si>
    <t>IAHS PRESS, INST HYDROLOGY</t>
  </si>
  <si>
    <t>WALLINGFORD</t>
  </si>
  <si>
    <t>C/O FRANCES WATKINS, WALLINGFORD OX10 8BB, ENGLAND</t>
  </si>
  <si>
    <t>0262-6667</t>
  </si>
  <si>
    <t>HYDROLOG SCI J</t>
  </si>
  <si>
    <t>Hydrol. Sci. J.-J. Sci. Hydrol.</t>
  </si>
  <si>
    <t>10.1080/02626669909492236</t>
  </si>
  <si>
    <t>Water Resources</t>
  </si>
  <si>
    <t>203JV</t>
  </si>
  <si>
    <t>WOS:000080705300006</t>
  </si>
  <si>
    <t>Reid, K; Liddle, GM; Prince, PA; Croxall, JP</t>
  </si>
  <si>
    <t>Measurement of chick provisioning in Antarctic Prions Pachyptila desolata using an automated weighing system</t>
  </si>
  <si>
    <t>JOURNAL OF AVIAN BIOLOGY</t>
  </si>
  <si>
    <t>LEACHS STORM-PETREL; SOUTH GEORGIA; INTERANNUAL VARIATION; CALONECTRIS-DIOMEDEA; FEEDING FREQUENCY; FOOD DELIVERY; MEAL SIZE; SEGREGATION; SEABIRDS; ECOLOGY</t>
  </si>
  <si>
    <t>The frequency and mass of meals delivered to ten Antarctic Prion Pachyptila desolata chicks nesting at Bird Island, South Georgia were examined using automated weighing systems, placed in the nest chamber of the burrow. The weighing systems, which consisted of an artificial nest platform mounted on electronic load cells linked to a data logger, recorded the mass of the chick every 10 min. Meal delivery was concentrated in the first few hours after dark with a peak (45% of meals) in the second hour of darkness. The mean number of meals per night per chick ranged from 0.4 to 1.7 with 80% of chicks receiving at least one meal per night; there were no nights when none of the chicks was fed. Chick 9, which had the highest feeding frequency, received smaller meals (mean 18 g) than all of the other chicks (mean 37 g). The mass of first and second meals delivered in the same night was not different nor was there a relationship between meal mass and feeding frequency (except for chick 9). There was no relationship between meal mass and chick age between 5 and 50 days. Meals delivered following a night when a chick received no meal were larger than when a chick had been fed the previous night. The proportion of chicks receiving 0, 1 and 2 meals per night differed from the predicted binomial distribution, assuming the independence of feeding by both parents, with more chicks receiving one meal per night than expected. Comparison with periodic weighing methods indicates that the latter underestimates meal size and feeding frequency. The variation within the small sample of chicks studied indicates the need for large sample sizes to estimate population provisioning parameters. However, the weighing system was very successful in providing accurate data on chick provisioning and, with additional development, could provide data on the individual provisioning strategies of adult birds.</t>
  </si>
  <si>
    <t>Reid, K (corresponding author), British Antarctic Survey, NERC, High Cross,Madingley Rd, Cambridge CB3 0ET, England.</t>
  </si>
  <si>
    <t>0908-8857</t>
  </si>
  <si>
    <t>J AVIAN BIOL</t>
  </si>
  <si>
    <t>J. Avian Biol.</t>
  </si>
  <si>
    <t>10.2307/3677121</t>
  </si>
  <si>
    <t>206BA</t>
  </si>
  <si>
    <t>WOS:000080855100001</t>
  </si>
  <si>
    <t>Weimerskirch, H; Fradet, G; Cherel, Y</t>
  </si>
  <si>
    <t>Natural and experimental changes in chick provisioning in a long-lived seabird, the Antarctic Prion</t>
  </si>
  <si>
    <t>PETREL HALOBAENA-CAERULEA; PACHYPTILA-DESOLATA; PELAGIC SEABIRD; THALASSOICA-ANTARCTICA; BODY CONDITION; INTERANNUAL VARIATION; FEEDING ECOLOGY; PARENTAL EFFORT; FORAGING TRIPS; FOOD DELIVERY</t>
  </si>
  <si>
    <t>ability of Antarctic Prions Pachyptila desolata to regulate their provisioning effort was studied at Kerguelen Islands by comparing two seasons when food availability differed, and by experimental manipulation of foraging costs. Antarctic Prions provision their chick by a two-fold foraging strategy: on average, they alternate a long foraging trip 7-9 days long when they build up body reserves and then feed the chick, with 2 or 3 successive short trips lasting 1 or 2 days when they use previously stored body reserves to forage for provisioning the chick. Although hatching success and fledging success were similar for the two seasons examined, chicks produced in 1996 grew faster and were heavier at the end of the study than in 1995. The difference was due to a higher provisioning rate in 1996 resulting from long trips being 2 days shorter than in 1995, because the Antarctic waters where adults are believed to feed on Antarctic krill during these long trips were 330 km further away in 1995 than in 1996. While returning from long trips, and during short trips, prions mainly feed close to the colonies on the amphipod Themisto gaudichaudii. This prey was less available in 1995, but prions were able to switch to other prey. Cost of foraging was increased experimentally by adding mass to adults. Loaded parents differed from control parents only by increasing the duration of long foraging trips. The results of both the experiment and the study of the natural variation indicate that the ability of Antarctic Prions to increase provisioning is limited. Birds kept their body mass stable, provided food loads of similar mass and had short foraging trips of similar duration. During long trips they spent longer time foraging either to reach more distant feeding grounds or to cover higher foraging costs. The main constraint on chick provisioning is probably the necessity for birds to maintain,a threshold body mass to limit the risk of increased mortality due to breeding effort; the higher yields during long foraging trips permit them to do so.</t>
  </si>
  <si>
    <t>CEBC, CNRS, F-79360 Beauvoir Sur Niort, France</t>
  </si>
  <si>
    <t>Weimerskirch, H (corresponding author), CEBC, CNRS, F-79360 Beauvoir Sur Niort, France.</t>
  </si>
  <si>
    <t>henriw@cebc.cnrs.fr</t>
  </si>
  <si>
    <t>1600-048X</t>
  </si>
  <si>
    <t>10.2307/3677126</t>
  </si>
  <si>
    <t>WOS:000080855100006</t>
  </si>
  <si>
    <t>Warren, SG; Rigor, IG; Untersteiner, N; Radionov, VF; Bryazgin, NN; Aleksandrov, YI; Colony, R</t>
  </si>
  <si>
    <t>Snow depth on Arctic sea ice</t>
  </si>
  <si>
    <t>WATER-VAPOR; VARIABILITY; SURFACE; COVER; OCEAN; MODEL; HEAT</t>
  </si>
  <si>
    <t>Snow depth and density were measured at Soviet drifting stations on multiyear Arctic sea ice. Measurements were made daily at fixed stakes at the weather station and once- or thrice-monthly at 10-m intervals on a line beginning about 500 m from the station buildings and extending outward an additional 500 or 1000 m. There were 31 stations, with lifetimes of 1-7 yr. Analyses are performed here for the 37 years 1954-91, juring which time at least one station was always reporting. Snow depth at the stakes was sometimes higher than on the lines, and sometimes lower, but no systematic trend of snow depth was detected as a function of distance from the station along the 1000-m lines that would indicate an influence of the station. To determine the seasonal progression of snow depth for each year at each station, priority was given to snow lines if available; otherwise the fixed stakes were used, with an offset applied if necessary. The ice is mostly free of snow during August. Snow accumulates rapidly in September and October moderately in November, very slowly in December and January, then moderately again from February to May. This pattern is exaggerated in the Greenland-Ellesmere sector, which shows almost no net accumulation from November to March. The Chukchi region shows a steadier accumulation throughout the autumn, winter, and spring. The average snow depth of the multiyear ice region reaches a maximum of 34 cm (11 g cm(-2)) in May. The deepest snow is just north of Greenland and Ellesmere Island, peaking in early June at more than 40 cm, when the snow is already melting north of Siberia and Alaska. The average snow density increases with time throughout the snow accumulation season, averaging 300 kg m(-3), with little geographical variation. Usually only two stations were in operation in any particular year, so there is insufficient information to obtain the geographical pattern of interannual variations. Therefore, to represent the geographical and seasonal variation of snow depth, a two-dimensional quadratic function is fitted to all data for a particular month, irrespective of year. Interannual anomalies for each month of each year are obtained relative to the long-term mean snow depth for the geographical location of the station operating in that particular year. The computed interannual variability (IAV) of snow depth in May is 6 cm, but this is larger than the true IAV because of inadequate geographical sampling. Weak negative trends of snow depth are found for all months. The largest trend is for May, the month of maximum snow depth, a decrease of 8 cm over 37 yr, apparently due to a reduction in accumulation-season snowfall.</t>
  </si>
  <si>
    <t>Univ Washington, Dept Atmospher Sci, Seattle, WA 98195 USA; Arctic &amp; Antarctic Res Inst, St Petersburg 199226, Russia; Univ Alaska, Int Arctic Res Ctr, Fairbanks, AK 99701 USA</t>
  </si>
  <si>
    <t>University of Washington; University of Washington Seattle; Arctic &amp; Antarctic Research Institute; University of Alaska System; University of Alaska Fairbanks</t>
  </si>
  <si>
    <t>Warren, SG (corresponding author), Univ Washington, Dept Atmospher Sci, Box 351640, Seattle, WA 98195 USA.</t>
  </si>
  <si>
    <t>10.1175/1520-0442(1999)012&lt;1814:SDOASI&gt;2.0.CO;2</t>
  </si>
  <si>
    <t>209NZ</t>
  </si>
  <si>
    <t>WOS:000081055800018</t>
  </si>
  <si>
    <t>Smith, AJ; Freeman, MP; Wickett, MG; Cox, BD</t>
  </si>
  <si>
    <t>On the relationship between the magnetic and VLF signatures of the substorm expansion phase</t>
  </si>
  <si>
    <t>MAGNETOSPHERIC SUBSTORMS; PLASMA; SATELLITE; CHORUS; WAVE</t>
  </si>
  <si>
    <t>We firmly establish a certain class of post-midnight ELF/VLF wave events as a signature of the substorm expansion phase. These substorm chorus events (SCEs) have been observed near L = 4 at Halley, Antarctica (76 degrees S, 27 degrees W), by the VELOX instrument. By examining 4 years (1992-1995) of nearly continuous Halley VELOX data, we identified 973 SCEs. From this database a subset of 258 events was selected, occurring within ii hour of local magnetic midnight at Halley, that is, between 0200 and 0400 UT. The epochs of these events were used to perform a superposed epoch analysis on the three components of the Halley fluxgate magnetometer data. A significant negative bay in the magnetic H component was observed to start at the SCE epoch, as expected for a ground station near the westward electrojet of the substorm current wedge. Positive and negative bays, respectively, were seen in the D and Z components. We interpret the detailed features of the composite magnetograms and conclude that the SCE is an unambiguous signature of substorm expansion phase onset. Given this association of the SCE with the substorm expansion phase based on the qualitative features of the superposed epoch ground magnetic signature, this paper also provides the most complete quantitative description to date of both the VLF and magnetic substorm signatures observed at a near-auroral zone ground station.</t>
  </si>
  <si>
    <t>a.j.smith@bas.ac.uk; m.freeman@bas.ac.uk</t>
  </si>
  <si>
    <t>A6</t>
  </si>
  <si>
    <t>10.1029/1998JA900184</t>
  </si>
  <si>
    <t>201MY</t>
  </si>
  <si>
    <t>WOS:000080600400010</t>
  </si>
  <si>
    <t>Meredith, NP; Johnstone, AD; Szita, S; Horne, RB; Anderson, RR</t>
  </si>
  <si>
    <t>Pancake electron distributions in the outer radiation belts</t>
  </si>
  <si>
    <t>WHISTLER-MODE WAVES; CYCLOTRON WAVES; PRECIPITATION; MAGNETOSPHERE; DIFFUSION; CRRES</t>
  </si>
  <si>
    <t>Electron pitch angle distributions sharply peaked at 90 degrees pitch angle were first recorded in the energy range 50 eV &lt; E &lt; 500 eV by the GEOS1 and GEOS2 spacecraft in 1977/1978, from the plasmapause out to geostationary orbit. At the time they were explained as the remnants of pitch angle diffusion driven solely by electron cyclotron harmonic (ECH) waves. Here we report new observations by the Low Energy Plasma Analyser on board the Combined Release and Radiation Effects Satellite, which measured the complete pitch angle distribution over the energy range 100 eV &lt; E &lt; 30 keV. The pancake distributions are seen to develop from injected distributions that are nearly isotropic in velocity space, on a timescale that is greater than 2 hours. The freshly injected distributions are associated with strong ECH and whistler mode waves suggesting that the pancake distributions are likely to be caused by a combination of both wave types. Outside L = 6.0 the fitting analysis at energies in the range 100 eV &lt; E &lt; 1 keV shows that in the marginally stable state the phase space density contours lie approximately along the characteristic curves for diffusion by whistler mode waves determined independently from the plasma wave data. However, inside L = 6.0, significant departures are observed. Our results suggest that whistler mode waves play a dominant role in the formation of pancake distributions outside L = 6.0, whereas inside L = 6.0 and, in particular, in the vicinity of the plasmapause, the ECH waves also play a significant role. Consequently, both types of waves should be considered in any attempt to explain the diffuse aurora and the variation with L taken into account.</t>
  </si>
  <si>
    <t>UCL, Mullard Space Sci Lab, Dorking RH5 6NT, Surrey, England; British Antarctic Survey, NERC, Cambridge CB3 0ET, England; Univ Iowa, Dept Phys &amp; Astron, Iowa City, IA 52242 USA</t>
  </si>
  <si>
    <t>University of London; University College London; UK Research &amp; Innovation (UKRI); Natural Environment Research Council (NERC); NERC British Antarctic Survey; University of Iowa</t>
  </si>
  <si>
    <t>UCL, Mullard Space Sci Lab, Holmbury St Mary, Dorking RH5 6NT, Surrey, England.</t>
  </si>
  <si>
    <t>npm@mssl.ucl.ac.uk; adj@mssl.ucl.ac.uk; ss@mssl.ucl.ac.uk; r.horne@bas.ac.uk; anderson@iowave.physics.uiowa.edu</t>
  </si>
  <si>
    <t>Horne, Richard B/U-3764-2019; Meredith, Nigel P/C-5806-2018</t>
  </si>
  <si>
    <t>Horne, Richard B/0000-0002-0412-6407; Meredith, Nigel/0000-0001-5032-3463</t>
  </si>
  <si>
    <t>10.1029/1998JA900083</t>
  </si>
  <si>
    <t>WOS:000080600400017</t>
  </si>
  <si>
    <t>McPhee, MG</t>
  </si>
  <si>
    <t>Parameterization of mixing in the ocean boundary layer</t>
  </si>
  <si>
    <t>JOURNAL OF MARINE SYSTEMS</t>
  </si>
  <si>
    <t>29th International Liege Colloquium on Ocean Hydrodynamics</t>
  </si>
  <si>
    <t>MAY 05-09, 1997</t>
  </si>
  <si>
    <t>LIEGE, BELGIUM</t>
  </si>
  <si>
    <t>parameterization; mixing; ocean</t>
  </si>
  <si>
    <t>TURBULENCE CLOSURE; FLUX; BUOYANCY; MODEL; SEA; ICE</t>
  </si>
  <si>
    <t>A method for estimating eddy viscosity and diffusivity based on a similarity theory for the vertical exchange scale of dominant turbulent eddies in a surface forced flow is used to predict flux profiles for momentum, heat, and salt in the ocean boundary layer (OBL). By neglecting time dependence in solving for the turbulence properties, the technique requires specifying only the mean density profile along with surface friction velocity and surface buoyancy flux. Momentum and scalar fluxes in stratified fluid below the well-mixed layer are determined by iteration. The method is illustrated in two ways. First, measurements of turbulent stress and heat flux from an intense storm during the 1994 Antarctic Zone Flux Experiment are simulated with reasonable accuracy. The model is forced by Reynolds stress measured near the surface, and by buoyancy flux estimated from the thermodynamic mass balance at the ice undersurface. It is then verified by comparing predicted friction velocity with measurements at other levels in the boundary layer, and by comparing predicted and measured turbulent heat flux. The latter requires accurate simulation of eddy diffusivity in the boundary layer. In the second demonstration, a prognostic model for the evolution of upper ocean temperature and salinity structure is formulated for an idealized storm scenario in which freezing or melting at the surface alternately induces destabilizing and stabilizing surface buoyancy flux. Since closure is local, prognostic equations for temperature and salinity only are carried. The model simulations are compared with a second-moment closure model (Mellor-Yamada level 21/2) forced in the same way. For surface heat flux (the main diagnostic), the two approaches agree quite well. In other respects, significant differences are noted, and it is suggested how data may be used to evaluate (and discriminate among) ocean turbulence models. (C) 1999 Elsevier Science B.V. All rights reserved.</t>
  </si>
  <si>
    <t>McPhee Res, Naches, WA 98937 USA</t>
  </si>
  <si>
    <t>McPhee, MG (corresponding author), McPhee Res, 450 Springs Rd, Naches, WA 98937 USA.</t>
  </si>
  <si>
    <t>0924-7963</t>
  </si>
  <si>
    <t>J MARINE SYST</t>
  </si>
  <si>
    <t>J. Mar. Syst.</t>
  </si>
  <si>
    <t>10.1016/S0924-7963(99)00005-6</t>
  </si>
  <si>
    <t>Geosciences, Multidisciplinary; Marine &amp; Freshwater Biology; Oceanography</t>
  </si>
  <si>
    <t>Geology; Marine &amp; Freshwater Biology; Oceanography</t>
  </si>
  <si>
    <t>236HY</t>
  </si>
  <si>
    <t>WOS:000082595200004</t>
  </si>
  <si>
    <t>Hawes, I; Schwarz, AM</t>
  </si>
  <si>
    <t>Photosynthesis in an extreme shade environment: Benthic microbial mats from Lake Hoare, a permanently ice-covered Antarctic lake</t>
  </si>
  <si>
    <t>JOURNAL OF PHYCOLOGY</t>
  </si>
  <si>
    <t>Antarctic lake; benthic photosynthesis; pigments; shade acclimation</t>
  </si>
  <si>
    <t>ALGAL MATS; PHYTOPLANKTON; CYANOBACTERIA; LIGHT; IRRADIANCE; PIGMENTS</t>
  </si>
  <si>
    <t>We investigated the composition of benthic microbial mats in permanently ice-covered Lake Hoare, Antarctica, and their irradiance vs. photosynthetic oxygen exchange relationships. Mats could be subdivided into three distinct depth zones: a seasonally ice-free moat zone and two under-ice zones. The upper under-ice zone extended from below the 3.5 m thick ice to approximately 13 m and the lower from below 13 m to 22 m. Moat mats were acclimated to the high irradiance they experienced during summer. They contained photoprotective pigments, predominantly those characteristic of cyanobacteria, and had high compensation and saturating irradiances (E-c and E-k) of 75 and 130 mu mol photons.m(-2).s(-1), respectively. The moat mats used light inefficiently. The upper under-ice community contained both cyanobacteria and diatoms. Within this zone, biomass (as pigments) increased with increasing depth, reaching a maximum at 10 m. Phycoerythrin was abundant in this zone, with shade acclimation and efficiency of utilization of incident Light increasing with depth to a maximum of 0.06 mel C fixed.mol(-1) incident photons under light-limiting conditions. Precipitation of inorganic carbon as calcite was associated with this community, representing up to 50% of the carbon sequestered into the sediment. The lower under-ice zone was characterized by a decline in pigment concentrations with depth and an increasing prevalence of diatoms. Photosynthesis in this community was highly shade acclimated and efficient, with E-c and E-k below 0.5 mu mol.m(-2).s(-1) and 2 mu mol.m(-2).s(-1), respectively, and maximum yields of 0.04 mel C fixed.mol(-1) incident quanta. Carbon uptake in situ by both under-ice and moat mats was estimated at up to 100 and 140 mg.m(-2).day(-1), based on the photosynthesis-irradiance curves, incident irradiance, and light attenuation by ice and the water column.</t>
  </si>
  <si>
    <t>Natl Inst Water &amp; Atomospher Res, Christchurch, New Zealand</t>
  </si>
  <si>
    <t>Hawes, I (corresponding author), Natl Inst Water &amp; Atomospher Res, POB 8602, Christchurch, New Zealand.</t>
  </si>
  <si>
    <t>Hawes, Ian/0000-0003-2471-6903</t>
  </si>
  <si>
    <t>PHYCOLOGICAL SOC AMER INC</t>
  </si>
  <si>
    <t>810 EAST 10TH ST, LAWRENCE, KS 66044 USA</t>
  </si>
  <si>
    <t>0022-3646</t>
  </si>
  <si>
    <t>J PHYCOL</t>
  </si>
  <si>
    <t>J. Phycol.</t>
  </si>
  <si>
    <t>10.1046/j.1529-8817.1999.3530448.x</t>
  </si>
  <si>
    <t>212RD</t>
  </si>
  <si>
    <t>WOS:000081229300004</t>
  </si>
  <si>
    <t>Sinha, B; Richards, KJ</t>
  </si>
  <si>
    <t>Jet structure and scaling in southern ocean models</t>
  </si>
  <si>
    <t>ANTARCTIC CIRCUMPOLAR CURRENT; QUASI-GEOSTROPHIC MODEL; BETA-PLANE CHANNEL; WIND-DRIVEN; TURBULENCE; FLOW</t>
  </si>
  <si>
    <t>The jet structure of the Antarctic Circumpolar Current (ACC) simulated by two general circulation models (GCMs), FRAM (Fine Resolution Antarctic Model) and POP (Parallel Ocean Program), is examined in relation to the bottom topography field. Despite differences in configuration both GCMs display similar behavior: the model ACC consists of a number of distinct current cores superimposed on broader-scale flow. The jets display temporal and spatial (including vertical) coherence with maximum velocities occurring at the surface. It is shown that multiple jets can arise in wind-forced baroclinic quasigeostrophic flow. The main factors influencing the number and spacing of jets are found to be the bottom topography and the proximity of lateral boundaries. The meridional spacing of jets on a flat-bottomed beta plane is consistent with the Rhines scaling criterion for barotropic beta-plane turbulence with a small modification due to baroclinicity and the presence of meridional boundaries. When a zonally oriented ridge is present, the meridional spacing decreases. This is explained by postulating that the beta effect is augmented by a factor related to the topographic slope. Smaller-scale roughness alters the magnitude of the mean flow and mass transport but does not necessarily alter the meridional scaling. The number and meridional spacing of multiple jets in FRAM are also found to be broadly consistent with this hypothesis, although other effects such as topographic steering may also be important. The POP model generally exhibits shorter length scales than would be expected from the topographically modified Rhines scaling alone, and it is likely that other factors are present.</t>
  </si>
  <si>
    <t>Plymouth Marine Lab, Plymouth PL1 2PB, Devon, England; Southampton Oceanog Ctr, Southampton, Hants, England</t>
  </si>
  <si>
    <t>Plymouth Marine Laboratory; NERC National Oceanography Centre; University of Southampton</t>
  </si>
  <si>
    <t>Plymouth Marine Lab, Citadel Hill, Plymouth PL1 2PB, Devon, England.</t>
  </si>
  <si>
    <t>bs@pml.ac.uk</t>
  </si>
  <si>
    <t>10.1175/1520-0485(1999)029&lt;1143:JSASIS&gt;2.0.CO;2</t>
  </si>
  <si>
    <t>210DU</t>
  </si>
  <si>
    <t>WOS:000081090500005</t>
  </si>
  <si>
    <t>McPhee, MG; Kottmeier, C; Morison, JH</t>
  </si>
  <si>
    <t>Ocean heat flux in the central Weddell Sea during winter</t>
  </si>
  <si>
    <t>MIXED-LAYER; BOUNDARY-LAYER; PACK ICE; MODEL; WATER; POLYNYA; ZONE</t>
  </si>
  <si>
    <t>Seasonal sea ice, which plays a pivotal role in air-sea interaction in the Weddell Sea (a region of large deepwater formation with potential impact on climate), depends critically on heat nux from the deep ocean. During the austral winter of 1994, an intensive process-oriented field program named the Antarctic Zone Flux Experiment measured upper-ocean turbulent fluxes during two short manned ice-drift station experiments near the Maud Rise seamount region of the Weddell Sea. Unmanned data buoys left at the site of the first manned drift provided a season-long time series of ice motion, mixed layer temperature and salinity. plus a (truncated) high-resolution record of temperature within the ice column. Direct turbulence Ru measurements made in the ocean boundary layer during the manned drift stations were extended to the ice-ocean interface with a mixing length model and were used to evaluate parameters in bulk expressions for interfacial stress (a Rossby similarity drag law) and ocean-to-ice heat Bur (proportional to the product of friction velocity and mixed layer temperature elevation above freezing). The Rossby parameters and dimensionless heat transfer coefficient agree closely with previous studies from perennial pack ice in the Arctic, despite a large disparity in undersurface roughness. For the manned drifts, ocean heat flux averaged 52 W m(-2) west of Maud Rise and 23 W m(-2) over Maud Rise. Unmanned buoy heat flux averaged 27 W m(-2) over a 76-day drift. Although short-term differences were large, average conductive heat flux in the ice was nearly identical to ocean heat flux over the 44-day ice thermistor record.</t>
  </si>
  <si>
    <t>McPhee Res Co, Naches, WA, Australia; Univ Karlsruhe, Inst Meteorol &amp; Klimaforsch, Karlsruhe, Germany; Univ Washington, Polar Sci Ctr, Seattle, WA 98195 USA</t>
  </si>
  <si>
    <t>Helmholtz Association; Karlsruhe Institute of Technology; University of Washington; University of Washington Seattle</t>
  </si>
  <si>
    <t>McPhee, MG (corresponding author), 450 Clover Springs Rd, Naches, WA 98937 USA.</t>
  </si>
  <si>
    <t>Kottmeier, Christoph/A-9553-2013</t>
  </si>
  <si>
    <t>Kottmeier, Christoph/0000-0002-2196-2052</t>
  </si>
  <si>
    <t>10.1175/1520-0485(1999)029&lt;1166:OHFITC&gt;2.0.CO;2</t>
  </si>
  <si>
    <t>WOS:000081090500007</t>
  </si>
  <si>
    <t>Nagao, M; Arakawa, K; Takezawa, D; Yoshida, S; Fujikawa, S</t>
  </si>
  <si>
    <t>Akinete formation in Tribonema bombycinum derbes et solier (Xanthophyceae) in relation to freezing tolerance</t>
  </si>
  <si>
    <t>JOURNAL OF PLANT RESEARCH</t>
  </si>
  <si>
    <t>akinetes; cold acclimation; freeze-fracture electron microscopy; freezing tolerance; nutrient deficiency; Tribonema bombycinum</t>
  </si>
  <si>
    <t>PLASMA-MEMBRANE; ULTRASTRUCTURAL ALTERATIONS; ANTARCTIC PENINSULA; EXTRACELLULAR ICE; PARENCHYMA CELLS; TEMPERATURE; GROWTH; INJURY; RYE; HARDINESS</t>
  </si>
  <si>
    <t>The process of akinete formation in relation to the acquirement of freezing tolerance in a fresh water alga, Tribonema bombycinum (Xanthophyceae), was examined, T. bombycinum shifted from vegetative cells to akinetes with starving by a prolonged batch culture, by culture with a diluted medium, or by culture with a single nutrient-deficient medium. In addition, akinetes developed by desiccation, but cold treatment at 4 C did not facilitate akinete formation. During starving, the vegetative cells, which had a large central vacuole in the protoplasm and thin cell walls, finally changed to akinetes, which had many small vacuoles and oil droplets in the protoplasm and thick cell walls. During akinete formation by starving, the freezing tolerance (LT50) increased gradually from -3C in vegetative cells to far below -30C in akinetes. When vegetative cells were subjected to equilibrium freezing, their size shrank greatly and aparticulate domains accompanied by fracture-jump lesions developed in the plasma membranes. Akinetes subjected to equilibrium freezing showed little shrinkage, and freezing-induced ultrastructural changes did not occur in the plasma membranes. The morphological changes in the process of akinete formation and the responses to equilibrium freezing resembled those of cold-acclimated terrestrial plants.</t>
  </si>
  <si>
    <t>Hokkaido Univ, Inst Low Temp Sci, Sapporo, Hokkaido 0600819, Japan</t>
  </si>
  <si>
    <t>Nagao, M (corresponding author), Hokkaido Univ, Inst Low Temp Sci, Sapporo, Hokkaido 0600819, Japan.</t>
  </si>
  <si>
    <t>Arakawa, Keita/C-2535-2012; 大輔, 竹澤/H-9175-2012</t>
  </si>
  <si>
    <t>BOTANICAL SOC JAPAN</t>
  </si>
  <si>
    <t>TOSHIN BUILDING HONGO 2-27-2 BUNKYO-KU, TOKYO, 113, JAPAN</t>
  </si>
  <si>
    <t>0918-9440</t>
  </si>
  <si>
    <t>J PLANT RES</t>
  </si>
  <si>
    <t>J. Plant Res.</t>
  </si>
  <si>
    <t>10.1007/PL00013870</t>
  </si>
  <si>
    <t>319EZ</t>
  </si>
  <si>
    <t>WOS:000087329700003</t>
  </si>
  <si>
    <t>Waugh, DW; Randel, WJ</t>
  </si>
  <si>
    <t>Climatology of arctic and antarctic polar vortices using elliptical diagnostics</t>
  </si>
  <si>
    <t>SOUTHERN-HEMISPHERE STRATOSPHERE; POTENTIAL VORTICITY; NORTHERN STRATOSPHERE; VORTEX DYNAMICS; PLANETARY-WAVES; WINTER; CIRCULATION; TROPOSPHERE; EVOLUTION</t>
  </si>
  <si>
    <t>The climatological structure, and interannual variability, of the Arctic and Antarctic stratospheric polar vortices are examined by analysis of elliptical diagnostics applied to over 19 yr of potential vorticity data. The elliptical diagnostics define the area, center,elongation, and orientation of each vortex and are used to quantify their structure and evolution. The diagnostics offer a novel view of the well-known differences in the climatological structure of the polar vortices. Although both vortices form in autumn to early winter, the Arctic vortex has a shorter life span and breaks down over a month before the Antarctic vertex. There are substantial differences in the distortion of the vortices from zonal symmetry; the Arctic vortex is displaced farther off the pole and is more elongated than the Antarctic vortex. While there is a midwinter minimum in the distortion of the Antarctic vortex, the distortion of the Arctic vortex increases during its life cycle. There are also large differences in the interannual variability of the vortices: the variability of the Antarctic vortex is small except during the spring vortex breakdown, whereas the Arctic vortex is highly variable throughout its life cycle, particularly in late winter. The diagnostics also reveal features not apparent in previous studies. There are periods when there are large zonal shifts (westward then eastward) in the climatological locations of the vortices: early winter for the Arctic vortex, and late winter to spring for the Antarctic vortex. Also, there are two preferred longitudes of the center of the lower-stratospheric Arctic vortex in early winter, and the vertex may move rapidly from one to the other. In the middle and upper stratosphere large displacements off the pole and large elongation of the vortex are both associated with a small vortex area, but there is very little correlation between displacement off the pole and elongation of the vortex.</t>
  </si>
  <si>
    <t>Monash Univ, Meteorol CRC, Clayton, Vic 3168, Australia; NCAR, Boulder, CO USA</t>
  </si>
  <si>
    <t>Monash University; National Center Atmospheric Research (NCAR) - USA</t>
  </si>
  <si>
    <t>Waugh, DW (corresponding author), Johns Hopkins Univ, Dept Earth &amp; Planetary Sci, 320 Olin Hall,3400 N Charles St, Baltimore, MD 21218 USA.</t>
  </si>
  <si>
    <t>Randel, William J/K-3267-2016; Waugh, Darryn/K-3688-2016</t>
  </si>
  <si>
    <t>Waugh, Darryn/0000-0001-7692-2798</t>
  </si>
  <si>
    <t>10.1175/1520-0469(1999)056&lt;1594:COAAAP&gt;2.0.CO;2</t>
  </si>
  <si>
    <t>204JY</t>
  </si>
  <si>
    <t>WOS:000080762200010</t>
  </si>
  <si>
    <t>Reidarson, TH; McBain, JF; Denton, D</t>
  </si>
  <si>
    <t>The use of medroxyprogesterone acetate to induce molting in chinstrap penguins (Pygoscelis antarctica)</t>
  </si>
  <si>
    <t>JOURNAL OF ZOO AND WILDLIFE MEDICINE</t>
  </si>
  <si>
    <t>Antarctic penguins; Depo-Provera; medroxyprogesterone; molting</t>
  </si>
  <si>
    <t>APTENODYTES-PATAGONICUS; THYROXINE; FORSTERI; LH</t>
  </si>
  <si>
    <t>Molt was successfully induced with a progestational compound, medroxyprogesterone acetate (Depo-Provera), in six of six previously nonmolting chinstrap penguins (Pygoscelis antarctica). The initial treatment consisted of five sequential weekly injections of 30 mg/kg Depo-Provera beginning in early September. Four weeks after completing the injections, the penguins had gained an average of 23% body weight, but none had molted. Beginning early November, five weekly injections were resumed, which initiated molt in all individuals within 34 days following the last injection. Molt was completed by mid-January, nearly 2 wk later. In the following years, nonmolting chinstrap penguins were given a single series of five weekly injections beginning in early November, 2 mo prior to the normal molting period.</t>
  </si>
  <si>
    <t>Sea World San Diego, San Diego, CA 92109 USA</t>
  </si>
  <si>
    <t>Reidarson, TH (corresponding author), Sea World San Diego, 500 Sea World Dr, San Diego, CA 92109 USA.</t>
  </si>
  <si>
    <t>AMER ASSOC ZOO VETERINARIANS</t>
  </si>
  <si>
    <t>YULEE</t>
  </si>
  <si>
    <t>581705 WHITE OAK ROAD, YULEE, FL 32097 USA</t>
  </si>
  <si>
    <t>1042-7260</t>
  </si>
  <si>
    <t>1937-2825</t>
  </si>
  <si>
    <t>J ZOO WILDLIFE MED</t>
  </si>
  <si>
    <t>J. Zoo Wildl. Med.</t>
  </si>
  <si>
    <t>Veterinary Sciences</t>
  </si>
  <si>
    <t>219LC</t>
  </si>
  <si>
    <t>WOS:000081607900013</t>
  </si>
  <si>
    <t>Vecchione, M; Young, RE; Donovan, DT; Rodhouse, PG</t>
  </si>
  <si>
    <t>Reevaluation of coleoid cephalopod relationships based on modified arms in the Jurassic coleoid Mastigophora</t>
  </si>
  <si>
    <t>LETHAIA</t>
  </si>
  <si>
    <t>Cephalopoda; coleoid; Mastigophora; decapod; vampyromorph; tentacles; soft-tissue fossil</t>
  </si>
  <si>
    <t>Mastigophora brevipinnis Owen, 1856, is a 'fossil teuthid' presently considered to be a member of the coleoid cephalopod Suborder Loligosepiina Jeletzky, which in turn has been placed by various authors in or near the Vampyromorpha Grimpe. Recent morphological and biochemical analyses indicate that vampyromorphs are more closely related to the Octopoda than to the Decapodiformes. Fossils of Mastigophora from the Oxford Clay (Jurassic: Callovian) show soft-tissue preservation and evidence of arm crown specialization. Some of these fossils have up to eight short, thick arms with circular sucker-like structures and filiform distal extensions, plus what appear to be the bases of two thinner ventrolateral arms. The latter lack proximal suckers : and curve medially to insert into the arm crown, similar to the tentacles that are the modified ventrolateral arms of living squids and cuttlefishes. This suggests that the thinner structures were decapod-like tentacles. If Mastigophora had tentacles homologous with those of modern decapods, then it was a decapod, because this synapomorphy defines the Decapodiformes. This indication of decapod affinities for Mastigophora brings into question the relationships of the other 'fossil teuthids'. The inferred relationship of the Loligosepiina, including Mastigophora, with the Vampyromorpha, based largely on similarities of gladius morphology with that of living Vampyroteuthis, may reflect shared plesiomorphic characters.</t>
  </si>
  <si>
    <t>Natl Museum Nat Hist, NMFS Systemat Lab, Washington, DC 20560 USA; Univ Hawaii, Dept Oceanog, Honolulu, HI 96822 USA; UCL, Dept Geol Sci, London WC1E 6BT, England; British Antarctic Survey, Cambridge CB3 0ET, England</t>
  </si>
  <si>
    <t>Smithsonian Institution; Smithsonian National Museum of Natural History; National Oceanic Atmospheric Admin (NOAA) - USA; University of Hawaii System; University of London; University College London; UK Research &amp; Innovation (UKRI); Natural Environment Research Council (NERC); NERC British Antarctic Survey</t>
  </si>
  <si>
    <t>Natl Museum Nat Hist, NMFS Systemat Lab, Washington, DC 20560 USA.</t>
  </si>
  <si>
    <t>vecchione.michael@nmnh.si.edu; ryoung@hawaii.edu; ucfb03d@ucl.ac.uk; p.rodhouse@bas.ac.uk</t>
  </si>
  <si>
    <t>0024-1164</t>
  </si>
  <si>
    <t>1502-3931</t>
  </si>
  <si>
    <t>Lethaia</t>
  </si>
  <si>
    <t>234BJ</t>
  </si>
  <si>
    <t>WOS:000082463700004</t>
  </si>
  <si>
    <t>Genovese, SJ; Witman, JD</t>
  </si>
  <si>
    <t>Interactive effects of flow speed and particle concentration on growth rates of an active suspension feeder</t>
  </si>
  <si>
    <t>CELLEPORELLA-HYALINA L; MARINE BRYOZOAN; COLONY SIZE; MERCENARIA-MERCENARIA; ABSORPTION EFFICIENCY; FEEDING INVERTEBRATES; ANTARCTIC BRYOZOANS; BUGULA-STOLONIFERA; UPSTREAM COLONIES; CURRENT VELOCITY</t>
  </si>
  <si>
    <t>Suspension-feeding organisms dominate subtidal habitats in the Gulf of Maine (GOM) at depths of 25-40 m. Parasmittina jeffrersi is an encrusting cheilostome bryozoan found in this zone throughout the GOM. Regional variation between coastal and offshore locations in both flow speed and particle concentration makes the GOM an ideal location to study the effect of these factors on the growth of P. jeffrersi. Particle flux measurements at two offshore and two coastal sites indicated that flow speeds were &gt;3-fold greater offshore than at coastal sites. Chlorophyll a concentrations and particulate quantity and quality were greater at offshore sites, but sedimentation rates were greater in the coastal region. The growth rate of P. jeffreysi was measured at each of the sites using unobstructed colonies free from spatial competition and colonies that remained within their natural community. Both unobstructed colonies and those in quadrats within the natural community displayed no regional difference in growth rates, despite higher particle flux in the offshore region. The interactive effects of flow speed and particle concentration are acting upon growth rates in opposite directions, resulting in the net effect of no regional differences in growth. Growth of unobstructed colonies at one of the coastal sites (Halfway Rock) was less than that at any of the other three sites and may have resulted from the combination of high sedimentation and extremely low flow at this site. A comparison between unobstructed colonies and those in natural quadrats suggested that growth was limited by spatial competition in the natural community. A significant site interaction effect indicates that this response did not occur at all four sites and was absent at Halfway Rock because of poor growth of unobstructed colonies. Any differences in growth due strictly to differential food acquisition (e.g., unobstructed colonies) appear to be dampened by competitive interactions in the natural community.</t>
  </si>
  <si>
    <t>Northeastern Univ, Ctr Marine Sci, Nahant, MA 01908 USA; Brown Univ, Dept Ecol &amp; Evolutionary Biol, Providence, RI 02912 USA</t>
  </si>
  <si>
    <t>Northeastern University; Brown University</t>
  </si>
  <si>
    <t>Northeastern Univ, Ctr Marine Sci, Nahant, MA 01908 USA.</t>
  </si>
  <si>
    <t>sgenoves@lynx.neu.edu; Jon_Witman@Brown.edu</t>
  </si>
  <si>
    <t>10.4319/lo.1999.44.4.1120</t>
  </si>
  <si>
    <t>228QY</t>
  </si>
  <si>
    <t>WOS:000082148200014</t>
  </si>
  <si>
    <t>Miller, KJ; Bradford-Grieve, JM; Jillett, JB</t>
  </si>
  <si>
    <t>Genetic relationship between winter deep-dwelling and spring surface-dwelling female Neocalanus tonsus in the Southern Ocean</t>
  </si>
  <si>
    <t>SUBTROPICAL CONVERGENCE REGION; SUBARCTIC PACIFIC-OCEAN; SUB-ANTARCTIC COPEPOD; AUSTRAL WINTER; NEW-ZEALAND; CALANOIDA; PHYTOPLANKTON; CALANUS</t>
  </si>
  <si>
    <t>This study examines the hypothesis that the winter deep-dwelling and spring surface-dwelling female Neocalanus tonsus in waters off the east New Zealand coast are genetically distinct, reproductively isolated species. This is done by comparing sequences of two variable regions of DNA (16S and ITS) from winter and spring N. tonsus collected in 1996, using N. plumchrus us (a northern hemisphere congener) as an outgroup. Analysis of sequence data, indicated clear genetic differences between N. tonsus and the outgroup N. plumchrus, with an average of 12% of the 16S sequence and 5.5% of the ITS sequence representing nucleotide substitutions between the two taxa. Low levels of intra-specific genetic differentiation were recorded (&lt;1% nucleotide differences among individuals); however there were no sequence differences between the N. tonsus females caught in deep water in August (winter) and in shallow water in October (spring). The morphology of these two types of females did not reveal any obvious differences. It is therefore likely that the two types do not represent different species but are ecological variants of a single species. The implications of N, tonsus being able to fuel reproduction in two different ways are discussed.</t>
  </si>
  <si>
    <t>Natl Inst Water &amp; Atmospher Res, Wellington, New Zealand; Univ Otago, Dept Marine Sci, Dunedin, New Zealand</t>
  </si>
  <si>
    <t>National Institute of Water &amp; Atmospheric Research (NIWA) - New Zealand; University of Otago</t>
  </si>
  <si>
    <t>Miller, KJ (corresponding author), Natl Inst Water &amp; Atmospher Res, POB 14901, Wellington, New Zealand.</t>
  </si>
  <si>
    <t>Miller, Karen/A-7902-2011; Miller, Karen/V-4098-2019</t>
  </si>
  <si>
    <t>Bradford-Grieve, Janet/0000-0002-3580-1217</t>
  </si>
  <si>
    <t>10.1007/s002270050528</t>
  </si>
  <si>
    <t>210QZ</t>
  </si>
  <si>
    <t>WOS:000081117300010</t>
  </si>
  <si>
    <t>Diekmann, B; Kuhn, G</t>
  </si>
  <si>
    <t>Provenance and dispersal of glacial-marine surface sediments in the Weddell Sea and adjoining areas, Antarctica: ice-rafting versus current transport</t>
  </si>
  <si>
    <t>Weddell Sea; Antarctica; glaciomarine sedimentation; provenance; granulometry; heavy minerals</t>
  </si>
  <si>
    <t>DEPOSITIONAL PROCESSES; PENINSULA; ATLANTIC; SYSTEMS; DEBRIS; SHELF; OCEAN; GYRE; FLOW</t>
  </si>
  <si>
    <t>Mineralogical and granulometric properties of glacial-marine surface sediments of the Weddell Sea and adjoining areas were studied in order to decipher spatial variations of provenance and transport paths of terrigenous detritus from Antarctic sources. The silt fraction shows marked spatial differences in quartz contents. In the sand fractions heavy-mineral assemblages display low mineralogical maturity and are dominated by garnet, green hornblende, and various types of clinopyroxene. Cluster analysis yields distinct heavy-mineral assemblages, which can be attributed to specific source rocks of the Antarctic hinterland. The configuration of modern mineralogical provinces in the near-shore regions reflects the geological variety of the adjacent hinterland. In the distal parts of the study area, sand-sized heavy minerals are good tracers of ice-rafting. Granulometric characteristics and the distribution of heavy-mineral provinces reflect maxima of relative and absolute accumulation of ice-rafted detritus in accordance with major iceberg drift tracks in the course of the Weddell Gyre. Fine-grained and coarse-grained sediment fractions may have different origins. In the central Weddell Sea, coarse ice-rafted detritus basically derives from East Antarctic sources, while the fine-fraction is discharged from weak permanent bottom currents and/or episodic turbidity currents and shows affinities to southern Weddell Sea sources. Winnowing of quartz-rich sediments through intense bottom water formation in the southern Weddell Sea provides muddy suspensions enriched in quartz. The influence of quartz-rich suspensions moving within the Weddell Gyre contour current can be traced as far as the continental slope in the northwestern Weddell Sea. In general, the focusing of mud by currents significantly exceeds the relative and absolute contribution of ice-rafted detritus beyond the shelves of the study area. (C) 1999 Elsevier Science B.V. All rights reserved.</t>
  </si>
  <si>
    <t>Diekmann, B (corresponding author), Alfred Wegener Inst Polar &amp; Marine Res, POB 120161, D-27515 Bremerhaven, Germany.</t>
  </si>
  <si>
    <t>Kuhn, Gerhard/0000-0001-6069-7485; Diekmann, Bernhard/0000-0001-5129-3649</t>
  </si>
  <si>
    <t>10.1016/S0025-3227(98)00165-0</t>
  </si>
  <si>
    <t>195GP</t>
  </si>
  <si>
    <t>WOS:000080242500013</t>
  </si>
  <si>
    <t>Leonard, SR; Turner, J; Van Der Wal, A</t>
  </si>
  <si>
    <t>An assessment of three automatic depression tracking schemes</t>
  </si>
  <si>
    <t>METEOROLOGICAL APPLICATIONS</t>
  </si>
  <si>
    <t>SOUTHERN-HEMISPHERE; SYNOPTIC CLIMATOLOGY; SYSTEMATIC-ERRORS; NUMERICAL SCHEME; CYCLONE CENTERS; STORM TRACKS; DIGITAL DATA; SIMULATIONS; WINTER; GCM</t>
  </si>
  <si>
    <t>The performance of three automatic depression tracking schemes developed by Terry &amp; Atlas (1996), Murray C Simmonds (1991a) and Konig et al. (1993) when applied! over one month are assessed. The schemes respectively identify depressions by (a) locating the innermost closed contour in a PMSL field (b) finding maximal in the curvature in a bi-cubic Spline fitted to the PMSL data and (c) performing a gridpoint search to identify a minimum in a PMSL field The largest number of depressions was found by the Murray and Simmonds scheme, with the Atlas and Terry scheme finding the least. The Murray and Simmonds scheme also found the largest number of tracks, with the other two having comparable numbers of tracks. Two possible explanations for the differences in the number of tracks are considered. Firstly, the cdse where one or more centres identified by one scheme as corresponding to a single track are not found by the other schemes. Secondly, the cdse where a Single track found by one scheme is split into two or more tracks by the other schemes. All three techniques had a similar latitude of cyclogenesis, although the Atlas and Terry and Konig et al. schemes found more lows dt high latitudes as a result of using data On a latitude/longitude grid. The longest mean track length was found with the Konig et al. scheme. A comparison of the PMSL fields with satellite imagery shows that the major NWP centres have trouble producing reliable analyses around the Antarctic because of the lack of data.</t>
  </si>
  <si>
    <t>British Antarctic Survey, Cambridge CB3 0ET, England; UK Meteorol Off, Bracknell RG12 2SZ, Berks, England</t>
  </si>
  <si>
    <t>UK Research &amp; Innovation (UKRI); Natural Environment Research Council (NERC); NERC British Antarctic Survey; Met Office - UK</t>
  </si>
  <si>
    <t>Leonard, SR (corresponding author), British Antarctic Survey, Cambridge CB3 0ET, England.</t>
  </si>
  <si>
    <t>Turner, John/0000-0002-6111-5122</t>
  </si>
  <si>
    <t>1350-4827</t>
  </si>
  <si>
    <t>METEOROL APPL</t>
  </si>
  <si>
    <t>Meteorol. Appl.</t>
  </si>
  <si>
    <t>10.1017/S135048279900119X</t>
  </si>
  <si>
    <t>212FJ</t>
  </si>
  <si>
    <t>WOS:000081206400008</t>
  </si>
  <si>
    <t>Mitchell, AD; Meurk, CD; Wagstaff, SJ</t>
  </si>
  <si>
    <t>Evolution of Stilbocarpa, a megaherb from New Zealand's sub-antarctic islands</t>
  </si>
  <si>
    <t>NEW ZEALAND JOURNAL OF BOTANY</t>
  </si>
  <si>
    <t>Apiaceae; Araliaceae; megaherb; phylogenetic relationship; Stilbocarpa; sub-antarctic islands</t>
  </si>
  <si>
    <t>RBCL SEQUENCE DATA; PHYLOGENETIC-RELATIONSHIPS; APIACEAE; MATK; DNA</t>
  </si>
  <si>
    <t>Challenges to the traditional circumscription of Apiaceae and Araliaceae are emerging as a result of phylogenetic analysis of DNA sequences. Traditionally classified as Araliaceae, Stilbocarpa emerges with Schizeilema and Azorella, both members of the Apiaceae. In our analyses of nuclear ITS sequences, these three genera comprise a distinct Southern Hemisphere lineage. The humid climate, cool equable temperatures, locally abundant nutrients, and absence of herbivores are ecological features of the sub-antarctic islands that may have contributed to the evolution of the unusual megaherb, Stilbocarpa, from these diminutive apiaceous ancestors.</t>
  </si>
  <si>
    <t>Lincoln Univ, Ecol &amp; Entomol Grp, Soil Plant &amp; Ecol Sci Div, Lincoln, New Zealand; Landcare Res, Lincoln, New Zealand</t>
  </si>
  <si>
    <t>Lincoln University - New Zealand; Landcare Research - New Zealand</t>
  </si>
  <si>
    <t>Mitchell, AD (corresponding author), Lincoln Univ, Ecol &amp; Entomol Grp, Soil Plant &amp; Ecol Sci Div, POB 84, Lincoln, New Zealand.</t>
  </si>
  <si>
    <t>Wagstaff, Steven/E-3847-2014</t>
  </si>
  <si>
    <t>Wagstaff, Steven/0000-0002-9066-8869</t>
  </si>
  <si>
    <t>SIR PUBLISHING</t>
  </si>
  <si>
    <t>WELLINGTON</t>
  </si>
  <si>
    <t>PO BOX 399, WELLINGTON, NEW ZEALAND</t>
  </si>
  <si>
    <t>0028-825X</t>
  </si>
  <si>
    <t>NEW ZEAL J BOT</t>
  </si>
  <si>
    <t>N. Z. J. Bot.</t>
  </si>
  <si>
    <t>253ZA</t>
  </si>
  <si>
    <t>WOS:000083586000003</t>
  </si>
  <si>
    <t>Broom, FD; Parkinson, BN; Green, TGA; Seppelt, RD</t>
  </si>
  <si>
    <t>Small-scale field mapping of lichen distribution in three dimensions with a computer-based position-tracking system</t>
  </si>
  <si>
    <t>electromagnetic tracker; three-dimensional mapping; species composition; species distribution; topography</t>
  </si>
  <si>
    <t>A trial was undertaken with an electromagnetic position-tracking (Tracker) system by mapping a small section of a lichen habitat near Cape Royds, Ross Island, Antarctica. This method facilitated the simultaneous collection of precise information about both the topography of the site and the distribution of lichen species. These data were used to produce accurate maps and three-dimensional reconstructions of the mapped area. The technique offers considerable savings in time over conventional methods used in plant and lichen surveys, and has potential to enhance the information collected from broader-scale transect surveys.</t>
  </si>
  <si>
    <t>Hort &amp; Food Res Inst New Zealand Ltd, Hamilton, New Zealand; Univ Waikato, Dept Biol Sci, Hamilton, New Zealand; Univ Waikato, Dept Biol Sci, Hamilton, New Zealand; Australian Antarctic Div, Kingston, Tas 7050, Australia</t>
  </si>
  <si>
    <t>New Zealand Institute for Plant &amp; Food Research Ltd; University of Waikato; University of Waikato; Australian Antarctic Division</t>
  </si>
  <si>
    <t>Broom, FD (corresponding author), Hort &amp; Food Res Inst New Zealand Ltd, Private Bag 3123, Hamilton, New Zealand.</t>
  </si>
  <si>
    <t>10.1007/s004420050818</t>
  </si>
  <si>
    <t>210WU</t>
  </si>
  <si>
    <t>WOS:000081128300010</t>
  </si>
  <si>
    <t>Pagani, M; Arthur, MA; Freeman, KH</t>
  </si>
  <si>
    <t>Miocene evolution of atmospheric carbon dioxide</t>
  </si>
  <si>
    <t>PALEOCEANOGRAPHY</t>
  </si>
  <si>
    <t>EMILIANIA-HUXLEYI LOHMANN; SEA-SURFACE TEMPERATURES; ABRUPT CLIMATE CHANGE; ODP LEG 150X; SOUTHWEST PACIFIC; ISOTOPE FRACTIONATION; MARINE-PHYTOPLANKTON; INORGANIC-CARBON; NORTH-ATLANTIC; STABLE-ISOTOPE</t>
  </si>
  <si>
    <t>Changes in pCO(2) or ocean circulation are generally invoked to explain warm early Miocene climates and a rapid East Antarctic ice sheet (EAIS) expansion in the middle Miocene. This study reconstructs late Oligocene to late Miocene pCO(2) from epsilon(p) values based on carbon isotopic analyses of diunsaturated alkenones and planktonic foraminifera from Deep Sea Drilling Project sites 588 and 608 and Ocean Drilling Program site 730. Our results indicate that highest pCO(2) occurred during the latest Oligocene (similar to 350 ppmv) but decreased rapidly at similar to 25 Ma. The early and middle Miocene was characterized by low pCO(2) (260-190 ppmv), Lower intervals of pCO(2) correspond to inferred organic carbon burial events and glacial episodes with the lowest concentrations occurring during the middle Miocene, There is no evidence for either high pCO(2) during the late early Miocene climatic optimum or a sharp pCO(2) decrease associated with EAIS growth. Paradoxically, pCO(2) increased following EAIS growth and obtained preindustrial levels by similar to 10 Ma. Although we emphasize an oceanographic control on Miocene climate, low pCO(2) could have primed the climate system to respond sensitively to changes in heat and vapor transport.</t>
  </si>
  <si>
    <t>Penn State Univ, Dept Geosci, University Pk, PA 16872 USA</t>
  </si>
  <si>
    <t>Pennsylvania Commonwealth System of Higher Education (PCSHE); Pennsylvania State University; Pennsylvania State University - University Park</t>
  </si>
  <si>
    <t>Pagani, M (corresponding author), Univ Calif Santa Cruz, Dept Earth Sci, Santa Cruz, CA 95064 USA.</t>
  </si>
  <si>
    <t>Freeman, Katherine H/H-5140-2011; Arthur, Michael A/E-2872-2014; Pagani, Mark/B-3233-2008</t>
  </si>
  <si>
    <t>Freeman, Katherine H/0000-0002-3350-7671;</t>
  </si>
  <si>
    <t>0883-8305</t>
  </si>
  <si>
    <t>Paleoceanography</t>
  </si>
  <si>
    <t>10.1029/1999PA900006</t>
  </si>
  <si>
    <t>Geosciences, Multidisciplinary; Oceanography; Paleontology</t>
  </si>
  <si>
    <t>Geology; Oceanography; Paleontology</t>
  </si>
  <si>
    <t>198XC</t>
  </si>
  <si>
    <t>WOS:000080448700002</t>
  </si>
  <si>
    <t>Neale, PJ; Fritz, JJ; Davis, RF; Peloquin, JA</t>
  </si>
  <si>
    <t>Effects of ultraviolet radiation on photosynthesis by antarctic phytoplankton</t>
  </si>
  <si>
    <t>PHOTOCHEMISTRY AND PHOTOBIOLOGY</t>
  </si>
  <si>
    <t>Smithsonian Environm Res Ctr, Edgewater, MD 21037 USA</t>
  </si>
  <si>
    <t>Smithsonian Institution; Smithsonian Environmental Research Center</t>
  </si>
  <si>
    <t>Neale, Patrick/A-3683-2012</t>
  </si>
  <si>
    <t>AMER SOC PHOTOBIOLOGY</t>
  </si>
  <si>
    <t>AUGUSTA</t>
  </si>
  <si>
    <t>BIOTECH PARK, 1021 15TH ST, SUITE 9, AUGUSTA, GA 30901-3158 USA</t>
  </si>
  <si>
    <t>0031-8655</t>
  </si>
  <si>
    <t>PHOTOCHEM PHOTOBIOL</t>
  </si>
  <si>
    <t>Photochem. Photobiol.</t>
  </si>
  <si>
    <t>92S</t>
  </si>
  <si>
    <t>93S</t>
  </si>
  <si>
    <t>Biochemistry &amp; Molecular Biology; Biophysics</t>
  </si>
  <si>
    <t>220KB</t>
  </si>
  <si>
    <t>WOS:000081663200280</t>
  </si>
  <si>
    <t>Helander, P; Chapman, SC; Dendy, RO; Rowlands, G; Watkins, NW</t>
  </si>
  <si>
    <t>Exactly solvable sandpile with fractal avalanching</t>
  </si>
  <si>
    <t>PHYSICAL REVIEW E</t>
  </si>
  <si>
    <t>SELF-ORGANIZED CRITICALITY; UNIVERSALITY; MODEL; NOISE; SYSTEM</t>
  </si>
  <si>
    <t>A simple one-dimensional sandpile model is constructed which possesses exact analytical solvability while displaying both scale-free behavior and fractal properties. The sandpile grows by avalanching on all scales, yet its shape and energy content are described by a simple, continuous (but nowhere differentiable) analytical formula. The avalanche energy distribution and the avalanche time series are both pou er lows with index -1 (''1/f spectra''). [S1063-651X(99)00306-2].</t>
  </si>
  <si>
    <t>UKAEA Euratom Fus Assoc, Culham Sci Ctr, Abingdon OX14 3DB, Oxon, England; Univ Warwick, Dept Phys, Coventry CV4 7AL, W Midlands, England; British Antarctic Survey, Cambridge CB3 0ET, England</t>
  </si>
  <si>
    <t>Culham Science Centre; UK Atomic Energy Authority; University of Warwick; UK Research &amp; Innovation (UKRI); Natural Environment Research Council (NERC); NERC British Antarctic Survey</t>
  </si>
  <si>
    <t>UKAEA Euratom Fus Assoc, Culham Sci Ctr, Abingdon OX14 3DB, Oxon, England.</t>
  </si>
  <si>
    <t>Watkins, Nick/GPX-7439-2022; Chapman, Sandra/C-2216-2008; Dendy, Richard O/A-4533-2009; Watkins, Nicholas Wynn/C-5140-2008</t>
  </si>
  <si>
    <t>Watkins, Nick/0000-0003-4484-6588; Chapman, Sandra/0000-0003-0053-1584; Dendy, Richard O/0009-0002-0017-9103; Watkins, Nicholas Wynn/0000-0003-4484-6588</t>
  </si>
  <si>
    <t>AMER PHYSICAL SOC</t>
  </si>
  <si>
    <t>COLLEGE PK</t>
  </si>
  <si>
    <t>ONE PHYSICS ELLIPSE, COLLEGE PK, MD 20740-3844 USA</t>
  </si>
  <si>
    <t>1539-3755</t>
  </si>
  <si>
    <t>1550-2376</t>
  </si>
  <si>
    <t>PHYS REV E</t>
  </si>
  <si>
    <t>Phys. Rev. E</t>
  </si>
  <si>
    <t>10.1103/PhysRevE.59.6356</t>
  </si>
  <si>
    <t>Physics, Fluids &amp; Plasmas; Physics, Mathematical</t>
  </si>
  <si>
    <t>210YY</t>
  </si>
  <si>
    <t>WOS:000081134200023</t>
  </si>
  <si>
    <t>Cobley, ND; Shears, JR</t>
  </si>
  <si>
    <t>Breeding performance of gentoo penguins (Pygoscelis papua) at a colony exposed to high levels of human disturbance</t>
  </si>
  <si>
    <t>ADELIE PENGUINS; SOUTH GEORGIA; ANTARCTICA; SUCCESS; ISLAND; BIOLOGY</t>
  </si>
  <si>
    <t>Port Lockroy, situated on the Antarctic Peninsula, is one of the most visited tourist sites in Antarctica. The effects of visitor disturbance on the breeding performance of gentoo penguins (Pygoscelis papua) at Goudier Island, Port Lockroy was investigated during the austral summer of 1996/1997 by comparing pairs in treatment areas (visited by 35-55 tourists every 12 days) and control colonies (not visited by tourists). There were no differences between the two groups in the proportion of birds that laid, in hatching success or the proportion of single-chick broods. Pairs in treatment colonies laid a higher proportion of single-egg clutches, but this was related to colony location and unusually high snow accumulation. Most treatment colonies were situated on low-lying ground or in the lee of buildings, and probably had more late layers at the initial census. Only 11% of tourist visits had occurred by laying, making human disturbance an unlikely explanation for the higher proportion of single-egg clutches. Nests monitored in a disturbed colony and a control colony showed no differences in chick mass or survival up to 20 days of age. The overall breeding success, based on counts of creched birds, was similar to other southern populations of gentoo penguins, after correcting for mortality between creching and fledging. Historical data from Goudier Island indicate that the colony established itself in 1985 and has rapidly increased in size since then. The neighbouring colony at Alice Creek, which has been regularly visited by tourists for at least a decade, has also shown a population increase, although this expansion has been at a slower rate. We conclude that disturbance from tourist visits is unlikely to have been a major determinant of gentoo population change at Port Lockroy.</t>
  </si>
  <si>
    <t>Cobley, ND (corresponding author), British Antarctic Survey, NERC, High Cross,Madingley Rd, Cambridge CB3 0ET, England.</t>
  </si>
  <si>
    <t>10.1007/s003000050373</t>
  </si>
  <si>
    <t>203KL</t>
  </si>
  <si>
    <t>WOS:000080706800002</t>
  </si>
  <si>
    <t>Viarengo, A; Mancinelli, G; Burlando, B; Panfoli, I; Marchi, B</t>
  </si>
  <si>
    <t>The SR Ca2+ ATPase of the Antarctic scallop Adamussium colbecki:: cold adaptation and heavy metal effects</t>
  </si>
  <si>
    <t>SARCOPLASMIC-RETICULUM; CALCIUM PUMPS; HG2+; HOMEOSTASIS; TEMPERATURE; POTASSIUM; MEMBRANES; ISOFORMS; RIBBONS; FAMILY</t>
  </si>
  <si>
    <t>Cell calcium is accumulated in intracellular stores by sarco-endoplasmic reticulum Ca(2+) ATPases functionally interacting with the membrane lipid environment. Cold adaptations of membrane lipids in Antarctic Sea organisms suggest possible adaptive effects also on sarco-endoplasmic reticulum Ca(2+) ATPases. We investigated the SR Ca(2+) ATPase of an Antarctic scallop, Adamussium colbecki, by characterising the enzyme activity and studying temperature effects. Ca(2+) ATPase, assayed by following ATP hydrolysis, was thapsigargin- and vanadate-sensitive, showed maximum activity under 2 mu M Ca(2+), 200 mM KCl and pH 7.2, and had a K(M) for ATP of 22 +/- 7 mu M. Temperature effects showed an Arrhenius inversion between -1.8 and 0 degrees C, indicating cold adaptation, an Arrhenius break at 10 degrees C, and a collapse above 20 degrees C. A. colbecki accumulates high amounts of cadmium in the digestive gland; heavy metal effects on sarco-endoplasmic reticulum Ca(2+) ATPases were therefore tested, finding an IC(50) = 0.9 mu M for Hg(2+) and 3 mu M for Cd(2+). Finally, SDS-PAGE analysis showed a main band at about 100 kDa, which was identified as sarco-endoplasmic reticulum Ca(2+) ATPase after trypsin digestion, and accounted for 60% total protein.</t>
  </si>
  <si>
    <t>Univ Piemonte Orientale, Dipartimento Sci &amp; Tecnol Avanzate, I-15100 Alessandria, Italy; Univ Genoa, Ist Fisiol Gen, I-16132 Genoa, Italy; Univ Genoa, Ist Policattedra Chim Biol, I-16132 Genoa, Italy</t>
  </si>
  <si>
    <t>University of Eastern Piedmont Amedeo Avogadro; University of Genoa; University of Genoa</t>
  </si>
  <si>
    <t>Burlando, B (corresponding author), Univ Piemonte Orientale, Dipartimento Sci &amp; Tecnol Avanzate, Sede Alessandria,Corso Borsalino 54, I-15100 Alessandria, Italy.</t>
  </si>
  <si>
    <t>burlando@mfn.al.unipmn.it</t>
  </si>
  <si>
    <t>Panfoli, Isabella/X-1247-2019; Panfoli, Isabella/K-5790-2013</t>
  </si>
  <si>
    <t>Panfoli, Isabella/0000-0002-6261-1128; Burlando, Bruno/0000-0001-7545-0311; Viarengo, Aldo/0000-0002-1557-6526</t>
  </si>
  <si>
    <t>10.1007/s003000050375</t>
  </si>
  <si>
    <t>WOS:000080706800004</t>
  </si>
  <si>
    <t>Moore, GJ; Wienecke, B; Robertson, G</t>
  </si>
  <si>
    <t>Seasonal change in foraging areas and dive depths of breeding king penguins at Heard Island</t>
  </si>
  <si>
    <t>APTENODYTES-PATAGONICUS; CROZET ARCHIPELAGO; BEHAVIOR; DIET; SUMMERS; SQUID; FISH</t>
  </si>
  <si>
    <t>The seasonal variation in the foraging behaviour of king penguins (Aptenodytes patagonicus) was studied at Heard Island (53 degrees 05'S, 73 degrees 30'E) during 1992/1993. On seven occasions throughout the breeding cycle, time-depth-light recorders were deployed on breeding adults to record the dive activities and foraging. Foraging locations changed with season: in autumn and spring 1992. adults foraged between 48-52 degrees S and 74-78 degrees E, about 370 km NNE of Heard Island close to the Polar Front. Two penguins tracked in winter travelled 2220 km east of Heard Island (95 degrees E) along the northern ice limit, and 1220 km south of Heard Island to approximately 65 degrees S, respectively. In spring (October), the penguins again foraged further north than during winter. The foraging area utilised in October overlapped the area where the penguins foraged in March/April. The penguins' diving behaviour also varied seasonally: the modal depth of deep dives (&gt;50 m) increased from about 100 m in February to 220 m in October. Mean dive depths increased from 70 +/- 52 m in March 1992 to 160 +/- 68 m in August 1992. Penguins dived deep (&gt;50 m) only during daylight hours (16 h in February, 9 h in July). Mean dive durations ranged from 2.9 +/- 1.1 min in March 1992 to 5.1 +/- 1.2 min in August 1992. Associated with changes in foraging location and dive behaviour was a change in diet composition: during summer the penguins ingested mainly myctophid fish (&gt;90%) while in winter the most important diet item was squid.</t>
  </si>
  <si>
    <t>Wienecke, B (corresponding author), Australian Antarctic Div, Channel Highway, Kingston, Tas 7050, Australia.</t>
  </si>
  <si>
    <t>Moore, Gregory J/E-7184-2010</t>
  </si>
  <si>
    <t>10.1007/s003000050376</t>
  </si>
  <si>
    <t>WOS:000080706800005</t>
  </si>
  <si>
    <t>Masini, MA; Sturla, M; Prato, P; Romano, P; Uva, B</t>
  </si>
  <si>
    <t>Regulatory peptides in the urinary bladder of two genera of Antarctic teleosts</t>
  </si>
  <si>
    <t>ATRIAL-NATRIURETIC-PEPTIDE; GILLICHTHYS-MIRABILIS; GOBIID TELEOST; UROTENSIN-II; SOMATOSTATIN; LAMPREY; TRANSPORT; GALANIN; LOCALIZATION; EPITHELIUM</t>
  </si>
  <si>
    <t>Somatostatin 14, prolactin, atrial natriuretic peptide, galanin and urotensin II were found using immunohistochemistry in the urinary bladders of the Antarctic fishes Trematomus bernacchii (Nototheniidae) and Chionodraca hamatus (Channichthyidae) caught in the Ross Sea. The urinary bladders of the two species showed a different histology in the epithelial layer. In T. bernacchii the epithelium comprises a single type of columnar cells, while in C. hamatus the columnar cells are restricted to the ventral portion of the bladder, and the dorso-lateral region is lined by cuboidal cells. No difference in the intensity of the immunostaining was observed in the two cell types; the only variation was a different distribution of the immunoreactions, which were present in the whole cytoplasm in the cuboidal cells and restricted to the apical and/or basal portion of the columnar cells.</t>
  </si>
  <si>
    <t>Univ Genoa, Dipartimento Biol Sperimentale Ambientale &amp; Appl, I-16132 Genoa, Italy; Univ Genoa, Dipartimento Med Sperimentale, I-16132 Genoa, Italy</t>
  </si>
  <si>
    <t>Masini, MA (corresponding author), Univ Genoa, Dipartimento Biol Sperimentale Ambientale &amp; Appl, Viale Benedetto XV 5, I-16132 Genoa, Italy.</t>
  </si>
  <si>
    <t>10.1007/s003000050377</t>
  </si>
  <si>
    <t>WOS:000080706800006</t>
  </si>
  <si>
    <t>Fiala, M; Delille, D</t>
  </si>
  <si>
    <t>Annual changes of microalgae biomass in Antarctic sea ice contaminated by crude oil and diesel fuel</t>
  </si>
  <si>
    <t>BACTERIAL COMMUNITIES; ENVIRONMENTAL ASPECTS; MARINE-PHYTOPLANKTON; MCMURDO-SOUND; BAHIA-PARAISO; COLD SEAWATER; HYDROCARBONS; BIOREMEDIATION; SPILL; BIODEGRADATION</t>
  </si>
  <si>
    <t>The influence of diesel fuel and Arabian light crude oil contamination were investigated on the land fast ice located in the continental shelf of Terre Adelie, Antarctica, during the austral winter 1993. Autotrophic biomass exhibited a clear seasonal pattern. In uncontaminated sea ice, chlorophyll a concentration showed two maxima, one in April (50 mg m(-3)) during sea-ice formation, and the second one in spring just before the ice thaw (20 mg m(-3)). The crude oil and diesel fuel contamination induced a negative effect on ice-microalgae biomass, which remained at a weak level throughout the ice-covered period. However, the inhibitory effect of diesel contamination was immediate while the crude oil effect occurred after the autumn phytoplankton bloom. Addition of fertilizer (Inipol EAP-22) to diesel and crude oil had a clear favourable effect on ice-microalgae. Chlorophyll a biomass exhibited the same seasonal pattern in fertilized and uncontaminated areas.</t>
  </si>
  <si>
    <t>Univ Paris 06, Observ Oceanol Banyuls, CNRS, UMR 7621, F-66651 Banyuls Sur Mer, France</t>
  </si>
  <si>
    <t>Fiala, M (corresponding author), Univ Paris 06, Observ Oceanol Banyuls, CNRS, UMR 7621, BP 44, F-66651 Banyuls Sur Mer, France.</t>
  </si>
  <si>
    <t>Daniel, Delille/S-9542-2019</t>
  </si>
  <si>
    <t>10.1007/s003000050378</t>
  </si>
  <si>
    <t>WOS:000080706800007</t>
  </si>
  <si>
    <t>Silva, MP; Favero, M; Martínez, MM</t>
  </si>
  <si>
    <t>Prey size selectivity by kelp gulls on Antarctic limpets at King George Island, Antarctica</t>
  </si>
  <si>
    <t>SOUTH SHETLAND ISLANDS; HAEMATOPUS-OSTRALEGUS; NACELLA-DELESSERTI; MYTILUS-EDULIS; OYSTERCATCHERS; PREDATION; CONCINNA; AVAILABILITY; TENACITY</t>
  </si>
  <si>
    <t>The present study was performed at Potter Peninsula (King George Island, Antarctica) with the following goals: (1) to assess the size selection of kelp gulls on Antarctic limpets during the chick-rearing period, and (2) to evaluate the degree of accuracy in the use of populational abundance and size-frequency distribution as an indicator of prey availability. The average size of limpets available to kelp gulls was significantly smaller than that of the population as a whole and those actually consumed by gulls. The odds ratio revealed a strong selectivity for large limpets, when available and consumed sizes were compared. However, only a proportion of the limpets present was available to gulls. These differences clearly show that using abundance information as an indicator of a resource importance can lead to substantial errors in ecological interpretations.</t>
  </si>
  <si>
    <t>Univ Mar del Plata, CIC, Fac Ciencias Exactas &amp; Nat, Dept Ciencias Marinas, RA-7600 Mar Del Plata, Argentina; Univ Mar del Plata, Fac Ciencias Exactas &amp; Nat, Dept Biol, RA-7600 Mar Del Plata, Argentina</t>
  </si>
  <si>
    <t>National University of Mar del Plata; National University of Mar del Plata</t>
  </si>
  <si>
    <t>Silva, MP (corresponding author), Univ Mar del Plata, CIC, Fac Ciencias Exactas &amp; Nat, Dept Ciencias Marinas, Funes 3350, RA-7600 Mar Del Plata, Argentina.</t>
  </si>
  <si>
    <t>Favero, Marco/AGF-7428-2022; MARTINEZ, MIGUEL MOLINA/J-8900-2017</t>
  </si>
  <si>
    <t>Favero, Marco/0000-0003-1293-3417;</t>
  </si>
  <si>
    <t>10.1007/s003000050379</t>
  </si>
  <si>
    <t>WOS:000080706800008</t>
  </si>
  <si>
    <t>Gremmen, NJM; Smith, VR</t>
  </si>
  <si>
    <t>New records of alien vascular plants from Marion and Prince Edward Islands, sub-Antarctic</t>
  </si>
  <si>
    <t>SOUTHERN-OCEAN; CONSERVATION; IMPACT</t>
  </si>
  <si>
    <t>A survey was made of the distribution of introduced vascular plants on Marion and Prince Edward Islands. The results of this survey were compared to results of previous surveys (1965/66, 1975, 1981, 1989). Four new introductions to Marion Island have taken place, three of which involved species that had been introduced in the past, but had disappeared or were eradicated. Eighteen species of alien vascular plants are now known from Marion Island. Of these, three were not observed during the present survey, and another three have been eradicated. Many of the naturalised aliens are still increasing markedly in area and/or in numbers. Rates of spread of up to 300 m year(-1) occur. Three alien Vascular species occur on Prince Edward Island. Two are recent introductions, presumably transported to this island from neighbouring Marion Island by wind or birds.</t>
  </si>
  <si>
    <t>NIOO CEMO, NL-4400 AC Yerseke, Netherlands; Bur Data Anal Ecol, NL-7981 AP Diever, Netherlands; Univ Stellenbosch, Dept Bot, ZA-7602 Matieland, South Africa</t>
  </si>
  <si>
    <t>Royal Netherlands Academy of Arts &amp; Sciences; Netherlands Institute of Ecology (NIOO-KNAW); Stellenbosch University</t>
  </si>
  <si>
    <t>Gremmen, NJM (corresponding author), NIOO CEMO, Postbus 140, NL-4400 AC Yerseke, Netherlands.</t>
  </si>
  <si>
    <t>10.1007/s003000050380</t>
  </si>
  <si>
    <t>WOS:000080706800009</t>
  </si>
  <si>
    <t>Janssen, HH; Gradinger, R</t>
  </si>
  <si>
    <t>Turbellaria (Archoophora: Acoela) from Antarctic sea ice endofauna -: examination of their micromorphology</t>
  </si>
  <si>
    <t>WEDDELL SEA; PACK-ICE; FLATWORMS; BIOLOGY; BIOTA; FAUNA; KRILL; BAY</t>
  </si>
  <si>
    <t>Acoel Turbellaria constitute a regular component of the metazoa populating Antarctic sea ice (sea-ice endofauna). Two species were collected, which differ in colour, size, shape and egg spawning season. They do not resemble any known pelagic species. Their small body diameter of less than 300 mu m allows them to penetrate deeply into the network of brine channels. Their vertical distribution within one ice flee was positively correlated with the accumulation of algal biomass; maxima for both parameters were found in the bottom 5 cm of the flee. The method by which the Turbellaria invade the sea ice is not clear. At present we have no indication that they pass through a pelagic or benthic stage in their life-cycle. As the Turbellaria were found to populate sea ice in areas with water depths ranging from 370 to 4450 m, the presence of benthic phases in their life-cycle, either free-living or epizooic, is not very probable. We suggest that the Turbellaria either use migrating invertebrates as a vector for their propagation or pass through a pelagic stage in their life-cycle.</t>
  </si>
  <si>
    <t>Inst Polarokol, D-24148 Kiel, Germany; Bundesanstalt Gewasserkunde, D-12439 Berlin, Germany</t>
  </si>
  <si>
    <t>Gradinger, R (corresponding author), Inst Polarokol, Wischhofstr 1-3,Gebaude 12, D-24148 Kiel, Germany.</t>
  </si>
  <si>
    <t>10.1007/s003000050381</t>
  </si>
  <si>
    <t>WOS:000080706800010</t>
  </si>
  <si>
    <t>Siegert, MJ</t>
  </si>
  <si>
    <t>On the origin, nature and uses of Antarctic ice-sheet radio-echo layering</t>
  </si>
  <si>
    <t>PROGRESS IN PHYSICAL GEOGRAPHY</t>
  </si>
  <si>
    <t>Antarctica; ice sheets; internal layers; radio-echo sounding (RES)</t>
  </si>
  <si>
    <t>CENTRAL EAST-ANTARCTICA; LAKE</t>
  </si>
  <si>
    <t>Airborne radio-echo sounding (RES) data display layering within the Antarctic ice sheet. At ice depths below 1000 m these layers are caused by horizons of ice with relatively high acidity which were originally deposited on the ice surface after large volcanic events. Layering which is less than 1000 m from the ice surface can also be due to variation in ice density. Theoretically, therefore, internal RES layering below 1000 m should represent isochronous planes. This theory is upheld under examination of existing RES data where internal layers have been observed to follow the rules of superposition. For example, RES layers are deposited as discrete bands, fold and fault in a manner analogous to geological features, never cross over each other and, in an undisturbed deposit, have a depth-age relationship which means that the oldest layers are located at the lowest level. Moreover, the location of internal layering is independent of radiowave receiver altitude, the frequency of the radiowave does not affect layer depth, and the pulse width of the e/m wave does not affect identification of layers. Thus, RES reflects actual dielectric layering within the ice sheet. Glaciologists use RES layering for a number of reasons, including: (1) correlating ice cores; (2) as boundary conditions for numerical models to help determine the direction of ice flow; and (3) as a means of identifying the three-dimensional ice-sheet geometry and architecture.</t>
  </si>
  <si>
    <t>Univ Bristol, Sch Geog Sci, Bristol Glaciol Ctr, Bristol BS8 1SS, Avon, England</t>
  </si>
  <si>
    <t>University of Bristol</t>
  </si>
  <si>
    <t>Siegert, MJ (corresponding author), Univ Bristol, Sch Geog Sci, Bristol Glaciol Ctr, Bristol BS8 1SS, Avon, England.</t>
  </si>
  <si>
    <t>Siegert, Martin J/A-3826-2008; Siegert, Martin/M-9939-2019</t>
  </si>
  <si>
    <t>Siegert, Martin J/0000-0002-0090-4806; Siegert, Martin/0000-0002-0090-4806</t>
  </si>
  <si>
    <t>0309-1333</t>
  </si>
  <si>
    <t>PROG PHYS GEOG</t>
  </si>
  <si>
    <t>Prog. Phys. Geogr.</t>
  </si>
  <si>
    <t>10.1191/030913399671124903</t>
  </si>
  <si>
    <t>204MJ</t>
  </si>
  <si>
    <t>WOS:000080767800001</t>
  </si>
  <si>
    <t>Storey, JWV; Ashley, MCB; Boccas, M; Phillips, MA; Schinckel, AET</t>
  </si>
  <si>
    <t>Infrared sky brightness monitors for Antarctica</t>
  </si>
  <si>
    <t>PUBLICATIONS OF THE ASTRONOMICAL SOCIETY OF THE PACIFIC</t>
  </si>
  <si>
    <t>SOUTH-POLE; ATMOSPHERIC OPACITY</t>
  </si>
  <si>
    <t>Two sky brightness monitors-one for the near-infrared and one for the mid-infrared-have been developed for site survey work in Antarctica. The instruments, which we refer to as the NISM (Near-Infrared Sky Monitor) and the MISM (Mid-Infrared Sky Monitor), are part of a suite of instruments being deployed in the Automated Astrophysical Site-Testing Observatory (AASTO). The chief design constraints include reliable, autonomous operation, low power consumption, and of course the ability to operate under conditions of extreme cold. The instruments are currently operational at the Amundsen-Scott South Pole Station, prior to deployment at remote, unattended sites on the high antarctic plateau.</t>
  </si>
  <si>
    <t>Univ New S Wales, Sch Phys, JACARA, Sydney, NSW 2052, Australia</t>
  </si>
  <si>
    <t>Storey, JWV (corresponding author), Univ New S Wales, Sch Phys, JACARA, Sydney, NSW 2052, Australia.</t>
  </si>
  <si>
    <t>j.storey@unsw.edu.au</t>
  </si>
  <si>
    <t>Ashley, Michael/0000-0003-1412-2028</t>
  </si>
  <si>
    <t>TEMPLE CIRCUS, TEMPLE WAY, BRISTOL BS1 6BE, ENGLAND</t>
  </si>
  <si>
    <t>0004-6280</t>
  </si>
  <si>
    <t>1538-3873</t>
  </si>
  <si>
    <t>PUBL ASTRON SOC PAC</t>
  </si>
  <si>
    <t>Publ. Astron. Soc. Pac.</t>
  </si>
  <si>
    <t>10.1086/316380</t>
  </si>
  <si>
    <t>207ZM</t>
  </si>
  <si>
    <t>WOS:000080965700012</t>
  </si>
  <si>
    <t>Balestrieri, ML; Bigazzi, G; Ghezzo, C</t>
  </si>
  <si>
    <t>The Transantarctic Mountains: A natural laboratory for apatite fission-track analysis. Results from Italian Antarctic Expeditions</t>
  </si>
  <si>
    <t>RADIATION MEASUREMENTS</t>
  </si>
  <si>
    <t>19th International Conference on Nuclear Tracks in Solids (ICNTSs)</t>
  </si>
  <si>
    <t>AUG 31-SEP 05, 1998</t>
  </si>
  <si>
    <t>BESANCON, FRANCE</t>
  </si>
  <si>
    <t>Transantarctic Mountains; apatite; fission-track analysis; tectonics</t>
  </si>
  <si>
    <t>SOUTHERN VICTORIA LAND; UPLIFT</t>
  </si>
  <si>
    <t>Apatite fission-track analysis has been applied to samples collected during the 1991/1992, 1993/1994 and 1996/1997 campaigns of the Italian Antarctic Project in the Transantarctic Mountains. Samples from the first two campaigns, collected in the area between the Mariner and the David Glaciers (northern Victoria Land), reveal that a Late Cretaceous uplift denudation phase already identified in other sectors of the chain took place also in this region. They also confirm the occurrence of a more recent phase starting in the Late Paleocene. Offsets in apatite age profiles regarding samples collected further north during the third campaign reveal Cenozoic normal faulting with variable sense of offset.</t>
  </si>
  <si>
    <t>CNR, Ist Geocronol &amp; Geochim Isotop, I-56127 Pisa, Italy; Univ Siena, Dipartimento Sci Terra, I-53100 Siena, Italy</t>
  </si>
  <si>
    <t>Consiglio Nazionale delle Ricerche (CNR); University of Siena</t>
  </si>
  <si>
    <t>Balestrieri, ML (corresponding author), CNR, Ist Geocronol &amp; Geochim Isotop, Via Cardinale Maffi 36, I-56127 Pisa, Italy.</t>
  </si>
  <si>
    <t>Balestrieri, Maria Laura/AAX-3560-2020; Ghezzo, Claudio/JCF-1491-2023</t>
  </si>
  <si>
    <t>1350-4487</t>
  </si>
  <si>
    <t>RADIAT MEAS</t>
  </si>
  <si>
    <t>Radiat. Meas.</t>
  </si>
  <si>
    <t>1-6</t>
  </si>
  <si>
    <t>10.1016/S1350-4487(99)00154-7</t>
  </si>
  <si>
    <t>Nuclear Science &amp; Technology</t>
  </si>
  <si>
    <t>226AG</t>
  </si>
  <si>
    <t>WOS:000081997700119</t>
  </si>
  <si>
    <t>Shea, MA; Smart, DF; Dreschhoff, GAM</t>
  </si>
  <si>
    <t>Identification of major proton fluence events from nitrates in polar ice cores</t>
  </si>
  <si>
    <t>Workshop on Impact of Solar Energetic Particle Events for the Design of Human Space Missions</t>
  </si>
  <si>
    <t>SEP 09-11, 1997</t>
  </si>
  <si>
    <t>CTR ADV SPACE STUDIES, HOUSTON, TEXAS</t>
  </si>
  <si>
    <t>CTR ADV SPACE STUDIES</t>
  </si>
  <si>
    <t>solar proton events; polar ice cores; Carrington flare; nitrates in polar ice; solar-terrestrial events; geomagnetic storms</t>
  </si>
  <si>
    <t>SOLAR</t>
  </si>
  <si>
    <t>Large transient concentrations of nitrates in polar ice cores have been identified as the signature of some major solar proton fluence events between 1940 and 1991. We review this solar proton proxy identification technique using nitrate concentration measurements in ice cores from the Arctic and Antarctic. Using this identification technique we go back in time in an attempt to identify major solar proton events during the past several centuries. There is a very large nitrate increase corresponding to the Carrington flare of 1859 evident in the Arctic ice core. Other significant nitrate increases may indicate that major solar proton events occurred toward the end of the last century. The problems associated with this new technique of using nitrates as proxies to identify solar proton events are discussed. (C) 1999 Elsevier Science Ltd. All rights reserved.</t>
  </si>
  <si>
    <t>USAF, Res Lab, VSBS, Bedford, MA 01731 USA; Univ Kansas, Space Technol Ctr, Lawrence, KS 66045 USA</t>
  </si>
  <si>
    <t>United States Department of Defense; United States Air Force; University of Kansas</t>
  </si>
  <si>
    <t>Shea, MA (corresponding author), USAF, Res Lab, VSBS, 29 Randolph Rd, Bedford, MA 01731 USA.</t>
  </si>
  <si>
    <t>10.1016/S1350-4487(99)00057-8</t>
  </si>
  <si>
    <t>255LU</t>
  </si>
  <si>
    <t>WOS:000083671000011</t>
  </si>
  <si>
    <t>Prego, R; Park, YH; Barciela, MC; Morvan, J; Poncin, J; Tréguer, P</t>
  </si>
  <si>
    <t>On the distribution of silicic acid as a frontal zone tracer in the Indian sector of the Southern Ocean</t>
  </si>
  <si>
    <t>SCIENTIA MARINA</t>
  </si>
  <si>
    <t>silicate; tracer; frontal zone; silicate-salinity diagram; Crozet Basin; Southern Ocean</t>
  </si>
  <si>
    <t>LATE SUMMER; ANTARCTIC OCEAN; PHYTOPLANKTON</t>
  </si>
  <si>
    <t>The subantarctic frontal zone surveyed during the April-May 1991 SUZIL cruise in the Crozet-Kerguelen Amsterdam area shows a strong horizontal (north to south) gradient of dissolved silicate, increasing with depth, from 5 to 10 mu molSi kg(-1) at 100 m, and 10 to 70 mu molSi kg(-1) at 600 m. The northern limit of this frontal zone, which is formed by the confluence of the Subtropical and Subantarctic Fronts, is delimited at the surface by the 2 mu molSi kg(-1) silicate isoline. Silicate-salinity diagrams also allow different water regimes to be positioned relative to the frontal zone. This sloping interface is between two water bodies, one to the north with more saline subtropical waters of less concentrated silicate than the southern one, corresponding to subantarctic waters which are less saline and richer in silicate. It is concluded that dissolved sill care can be used as a useful tracer of frontal zone water masses in the Indian sector of the Southern Ocean, providing a sound complement to other hydrographic data.</t>
  </si>
  <si>
    <t>CSIC, Inst Invest Marinas, Vigo 36208, Spain; Museum Natl Hist Nat, F-75231 Paris, France; Ecole Natl Super Chim Rennes, F-35700 Rennes, France; Univ Bretagne Occidentale, Inst Etud Marins, F-29287 Brest, France</t>
  </si>
  <si>
    <t>Consejo Superior de Investigaciones Cientificas (CSIC); CSIC - Instituto de Investigaciones Marinas (IIM); Museum National d'Histoire Naturelle (MNHN); Ecole Nationale Superieure de Chimie de Rennes (ENSCR); Universite de Rennes; Universite de Bretagne Occidentale</t>
  </si>
  <si>
    <t>Prego, R (corresponding author), CSIC, Inst Invest Marinas, Eduardo Cabello 6, Vigo 36208, Spain.</t>
  </si>
  <si>
    <t>Barciela-Alonso, Maria Carmen/I-2018-2015; , GETEE/AAL-4946-2020; Treguer, Paul/H-6064-2012; Prego, Ricardo/H-4169-2012; Barciela-Alonso, Maria Carmen/AAA-6596-2021</t>
  </si>
  <si>
    <t>Barciela-Alonso, Maria Carmen/0000-0002-8518-3613; Barciela-Alonso, Maria Carmen/0000-0002-8518-3613; Prego, Ricardo/0000-0001-8922-6775</t>
  </si>
  <si>
    <t>INST CIENCIAS MAR BARCELONA</t>
  </si>
  <si>
    <t>BARCELONA</t>
  </si>
  <si>
    <t>PASSEIG JOAN DE BORBO, 08039 BARCELONA, SPAIN</t>
  </si>
  <si>
    <t>0214-8358</t>
  </si>
  <si>
    <t>SCI MAR</t>
  </si>
  <si>
    <t>Sci. Mar.</t>
  </si>
  <si>
    <t>10.3989/scimar.1999.63n2121</t>
  </si>
  <si>
    <t>224JU</t>
  </si>
  <si>
    <t>gold, Green Submitted</t>
  </si>
  <si>
    <t>WOS:000081895400003</t>
  </si>
  <si>
    <t>Lomas, SA</t>
  </si>
  <si>
    <t>A Lower Cretaceous elastic slope succession, Livingston Island, Antarctica: sand-body characteristics, depositional processes and implications for slope apron depositional models</t>
  </si>
  <si>
    <t>SEDIMENTOLOGY</t>
  </si>
  <si>
    <t>Byers Peninsula; palaeocurrents; slope apron; slope channels; slumps; turbidites</t>
  </si>
  <si>
    <t>SOUTH SHETLAND ISLANDS; DENSITY TURBIDITY CURRENTS; BYERS GROUP; PENINSULA REGION; DEEP-SEA; SEDIMENT; ARC; SANDSTONES; MARGIN; ORIGIN</t>
  </si>
  <si>
    <t>The early Cretaceous fill of the forearc/intra-arc Byers Basin includes a 600- to 900-m-thick interval of marine slope apron deposits, the President Beaches Formation. This is a predominantly argillaceous succession within which coarser-grained deposits are largely confined to lenticular packages of low width-thickness ratios. The entire formation was deposited in mid- to late-Berriasian times, coincident with a pulse of regional are expansion, at minimum mean accumulation rates of 120-225 mm 1000 years(-1). The mudstones are finely laminated, with a restricted benthic macrofauna and minimal bioturbation, indicating relatively inhospitable sea-floor environments. Sand-rich packages occur as 7- to 30-m-thick channel-fill units composed chiefly of classical medium-grained turbidites, in some cases associated with complex high-concentration turbidity current deposits and minor mud-rich debrites. These sand-bodies are apparently elongate along (normal to) the NW-facing palaeoslope implied by slump-fold axes (and the strike of the volcanic are). Similarly, palaeocurrent indices show a consistent are-parallel, NE-directed trend, suggesting that transport processes were strongly influenced by the structural 'grain' of the irregular slope morphology. Slope instability is recorded by widespread slump and soft-sediment collapse features promoted by a combination of steep sea-floor gradients and relatively high rates of sedimentation. A lack of systematic vertical facies trends indicates that this was not a progradational or well-organized system, despite high rates of sediment supply. However, the strong systematic relationship between palaeocurrents and palaeoslope suggests a promising basis for evaluating organization in otherwise poorly ordered slope apron depositional systems.</t>
  </si>
  <si>
    <t>Lomas, SA (corresponding author), Univ Aberdeen, Kings Coll, Dept Geol &amp; PEtroleum Geol, Aberdeen AB24 3UE, Scotland.</t>
  </si>
  <si>
    <t>s.lomas@abdn.ac.uk</t>
  </si>
  <si>
    <t>0037-0746</t>
  </si>
  <si>
    <t>Sedimentology</t>
  </si>
  <si>
    <t>10.1046/j.1365-3091.1999.00225.x</t>
  </si>
  <si>
    <t>214MA</t>
  </si>
  <si>
    <t>WOS:000081330700006</t>
  </si>
  <si>
    <t>The endurance: Shackleton's legendary Antarctic expedition</t>
  </si>
  <si>
    <t>VIRGINIA QUARTERLY REVIEW</t>
  </si>
  <si>
    <t>UNIV VIRGINIA</t>
  </si>
  <si>
    <t>CHARLOTTESVILLE</t>
  </si>
  <si>
    <t>1 W RANGE, CHARLOTTESVILLE, VA 22903 USA</t>
  </si>
  <si>
    <t>0042-675X</t>
  </si>
  <si>
    <t>VA QUART REV</t>
  </si>
  <si>
    <t>VA. Q. Rev.</t>
  </si>
  <si>
    <t>SUM</t>
  </si>
  <si>
    <t>Literary Reviews</t>
  </si>
  <si>
    <t>Literature</t>
  </si>
  <si>
    <t>213BG</t>
  </si>
  <si>
    <t>WOS:000081251700042</t>
  </si>
  <si>
    <t>Gelatt, TS; Siniff, DB</t>
  </si>
  <si>
    <t>Line transect survey of crabeater seals in the Amundsen-Bellingshausen Seas, 1994</t>
  </si>
  <si>
    <t>WILDLIFE SOCIETY BULLETIN</t>
  </si>
  <si>
    <t>Antarctic seals; crabeater seal; density estimates; DISTANCE; line transect; Lobodon carcinophagus</t>
  </si>
  <si>
    <t>CRAB-EATER SEALS; ANTARCTICA; BEHAVIOR</t>
  </si>
  <si>
    <t>Estimates of the population density of crabeater seals (Lobodon carcinophagus) range from 7 to 11 million, and a recent decline has been proposed. To assess the status of this and other pack-ice seal species, standardized and cost-efficient survey methods are required. We conducted a survey of Antarctic seals concurrent with an oceanographic cruise of the R/V Nathaniel B. Palmer in the pack-ice regions between McMurdo Station, Antarctica (77 degrees 50'S 166 degrees 45'E) and the Antarctic Peninsula (65 degrees 35'S 64 degrees 46'W) during February to April 1994. We tested the feasibility of using traditional methods and modern software to survey seals opportunistically in heavy pack-ice. We used line transect methods and the computer program DISTANCE to estimate crabeater seal density, and we chose uniform/cosine models to fit the detection functions. We found the detection functions for individuals and groups of seals to be slightly different, suggesting a size-bias in detection. We estimated crabeater seal density as 0.76/km(2) after using published values to correct for differences in sightability caused by daily activity. The methods used were compatible with interdisciplinary research incorporating daily movements through the pack-ice and could be useful for further research into line transect sampling of pack-ice seals.</t>
  </si>
  <si>
    <t>Univ Minnesota, Dept Fisheries &amp; Wildlife, St Paul, MN 55108 USA; Univ Minnesota, Dept Ecol Evolut &amp; Behav, St Paul, MN 55108 USA</t>
  </si>
  <si>
    <t>University of Minnesota System; University of Minnesota Twin Cities; University of Minnesota System; University of Minnesota Twin Cities</t>
  </si>
  <si>
    <t>Gelatt, TS (corresponding author), Univ Minnesota, Dept Fisheries &amp; Wildlife, 200 Hodson Hall,1980 Folwell Ave, St Paul, MN 55108 USA.</t>
  </si>
  <si>
    <t>WILDLIFE SOC</t>
  </si>
  <si>
    <t>5410 GROSVENOR LANE, BETHESDA, MD 20814-2197 USA</t>
  </si>
  <si>
    <t>0091-7648</t>
  </si>
  <si>
    <t>WILDLIFE SOC B</t>
  </si>
  <si>
    <t>Wildl. Soc. Bull.</t>
  </si>
  <si>
    <t>Biodiversity Conservation</t>
  </si>
  <si>
    <t>Biodiversity &amp; Conservation</t>
  </si>
  <si>
    <t>239WF</t>
  </si>
  <si>
    <t>WOS:000082792300014</t>
  </si>
  <si>
    <t>von Blanckenburg, F; Igel, H</t>
  </si>
  <si>
    <t>Lateral mixing and advection of reactive isotope tracers in ocean basins: observations and mechanisms</t>
  </si>
  <si>
    <t>isotopes; beryllium; lead; mixing; Pacific</t>
  </si>
  <si>
    <t>CENTRAL PACIFIC SEAWATER; WESTERN NORTH-ATLANTIC; RARE-EARTH ELEMENTS; FE-MN CRUSTS; THERMOHALINE CIRCULATION; FERROMANGANESE CRUSTS; NEODYMIUM ISOTOPES; MANGANESE NODULES; SOUTH-ATLANTIC; PB ISOTOPES</t>
  </si>
  <si>
    <t>The global mapping of dissolved non-conservative isotopic tracers (Be, Pb: Nd) in the world's oceans has revealed relative homogeneities in isotope ratios that by far exceed those of the tracers isotopic input ranges. For tracers with continental sources such as Pb and Nd, a first possible mechanism to account for such an isotopic homogenisation is the mixing within their source areas, such as rivers, deltas, or continental shelves. However, a further mixing mechanism within ocean water is likely, because in the Pacific Ocean the two isotopes of Be are mixed to within only 13% dispersion, despite their entirely different sources (cosmogenic Be-10 entering the oceans interior by rain, stable Be-9 entering the ocean margins from the continents). A second possibility is that well-mixed tracers are imported from the Antarctic Circumpolar Current (ACC) into the Pacific by Antarctic Bottom Water (AABW). However, since the area of the ACC is also one of intensive tracer scavenging, for Pb and most of the Pacific's Be imported sources are not dominant by mass balance. Hence a third mechanism, lateral intra-basin mixing between coastal and central gyre waters is suggested to be the most important mixing mechanism. We perform a numerical assessment of the feasibility of tracer mixing by lateral advection and eddy mixing, in mio dimensions in a basin-width subtropical ocean gyre with laterally varying scavenging and input intensity. For Be, strong cross-streamline diffusion is required to achieve homogenisation of the Be-10 derived from the interior with the margin-sourced Be-9. This is favoured by long scavenging residence times (tau) of Be, which is the case in both thermocline waters and deep waters. For Pb, most of which is entirely margin-sourced, isotopic homogenisation is favoured by high velocities (Peclet Numbers) in the gyre and tau of at least 20 y. This is the case in thermocline waters. Lf short-residence time tracers are dispersed in such an efficient way over large sections of an ocean basin important implications for the use of these isotopes in paleoceanography are: (1) sites of tracer input (e.g. dust) do not necessarily spatially correlate with the distribution of such input in either seawater or marine sediments; (2) gyre-wide, or even basin-wide responses might arise from relatively local changes in the provenance of isotopes, and need not necessarily result from global climatic changes, or variations of the deep thermohaline circulation. (C) 1999 Elsevier Science B.V. All rights reserved.</t>
  </si>
  <si>
    <t>Univ Bern, CH-3012 Bern, Switzerland; Univ Cambridge, Dept Earth Sci, Cambridge CB2 3EQ, England</t>
  </si>
  <si>
    <t>University of Bern; University of Cambridge</t>
  </si>
  <si>
    <t>von Blanckenburg, F (corresponding author), Univ Bern, Erlachstr 9A, CH-3012 Bern, Switzerland.</t>
  </si>
  <si>
    <t>von Blanckenburg, Friedhelm/K-4711-2013; Igel, Heiner/AAK-2038-2021; Igel, Heiner/E-9580-2010; Igel, Heiner/AAF-2865-2019</t>
  </si>
  <si>
    <t>von Blanckenburg, Friedhelm/0000-0002-2964-717X; Igel, Heiner/0000-0002-7242-6399;</t>
  </si>
  <si>
    <t>MAY 30</t>
  </si>
  <si>
    <t>10.1016/S0012-821X(99)00070-9</t>
  </si>
  <si>
    <t>197YA</t>
  </si>
  <si>
    <t>WOS:000080392900010</t>
  </si>
  <si>
    <t>Davis, RE; Lowit, MB; Knappenberger, PC; Legates, DR</t>
  </si>
  <si>
    <t>A climatology of snowfall-temperature relationships in Canada</t>
  </si>
  <si>
    <t>ANTARCTIC ICE SHEETS; UNITED-STATES; NORTH-AMERICAN; PRECIPITATION RELATIONSHIPS; MASS-BALANCE; COVER; VARIABILITY; GREENLAND; ACCUMULATION; DEPENDENCE</t>
  </si>
  <si>
    <t>A better understanding of potential climate change impacts on the global hydrological cycle requires knowledge of the interaction between air temperature and water in its various farms. One important example is the effect of air temperature on snowfall. Proper parameterization of the snowfall-temperature relationship in climate models is essential for accurate prediction of future snowfall changes that might arise from high-latitude warming. On a climatological basis, at any location, air temperature and snowfall can be correlated positively (higher temperatures increase atmospheric moisture and snowfall through the Clausius-Clapeyron relationship) or negatively (precipitation falls as rain instead of snow). Examination of 50 years of monthly snowfall water equivalent and mean temperature data indicates that the snowfall-temperature relationship is positive in the high latitudes and negative in southern Canada, along both coasts, and east of the Rockies. The zero line (the transition zone north of which warmer months receive more snowfall than colder months) migrates southward from autumn to winter so that by January most of eastern and northwestern Canada has a positive snowfall-temperature slope. The primary exception to a straightforward relationship between slope and latitude occurs east of the Rockies, where anomalous negative slopes extend far to the north. In this region, dry, adiabatically warmed air from downslope or circulation effects may reduce the number of snow events and modify the slope of the snowfall-temperature curve. Based on first principles and Canadian observations, we develop a function relating temperature to snowfall that attempts to account for the complex spatial and seasonal nature of the snowfall-temperature relationship. Given the importance of snowfall in the global radiation balance, this analysis could be used to improve climate change predictions.</t>
  </si>
  <si>
    <t>Univ Virginia, Dept Environm Sci, Charlottesville, VA 22903 USA; Louisiana State Univ, So Reg Climate Ctr, Baton Rouge, LA 70803 USA</t>
  </si>
  <si>
    <t>University of Virginia; Louisiana State University System; Louisiana State University</t>
  </si>
  <si>
    <t>Univ Virginia, Dept Environm Sci, Clark Hall, Charlottesville, VA 22903 USA.</t>
  </si>
  <si>
    <t>red3u@virginia.edu</t>
  </si>
  <si>
    <t>Davis, Robert/A-9078-2008</t>
  </si>
  <si>
    <t>Davis, Robert/0000-0002-3969-878X</t>
  </si>
  <si>
    <t>MAY 27</t>
  </si>
  <si>
    <t>D10</t>
  </si>
  <si>
    <t>10.1029/1999JD900104</t>
  </si>
  <si>
    <t>200XX</t>
  </si>
  <si>
    <t>WOS:000080566500009</t>
  </si>
  <si>
    <t>MacTaylor, RS; Gilligan, JJ; Moody, DJ; Castleman, AW</t>
  </si>
  <si>
    <t>Molecular activation by surface coordination: New model for HCl reactivity on water-ice polar stratospheric clouds</t>
  </si>
  <si>
    <t>NITRIC-ACID TRIHYDRATE; HYDROGEN-CHLORIDE; HYDROCHLORIC-ACID; DYNAMICS SIMULATION; VAPOR-PRESSURES; OZONE DEPLETION; ANTARCTIC OZONE; CLUSTERS; IONIZATION; IONS</t>
  </si>
  <si>
    <t>Results of studies of the-uptake of HCl by the deuterated analogue of protonated water clusters are reported. The successive uptake of nHCl n = 1-4 is observed, n = 2-4 appearing in a stepwise manner with a ratio of 6:1 D2O/HCl for the bimolecular reaction products. This primary uptake scheme is observed over a range of pressures (0.24-0.46 Torr) and temperatures (130-170 K). However, for increased flows of HCl, enhanced uptake is observed at a lower ratio of D2O/HCl, a trend that is effected by an increased buffer gas pressure. Two distinctly dominant mechanisms of HCl uptake are operative: the bimolecular uptake of HCl in a 6:1 ratio with water and a,subsequent association mechanism of HCl binding to water in a 3:1 ratio. The atmospheric implications are discussed along with a proposed molecular activation by surface coordination (MASC) model for HCl uptake and subsequent reactivity on polar stratospheric clouds.</t>
  </si>
  <si>
    <t>Penn State Univ, Dept Chem, University Pk, PA 16802 USA</t>
  </si>
  <si>
    <t>Castleman, AW (corresponding author), Salem State Coll, Dept Chem &amp; Phys, Salem, MA 01970 USA.</t>
  </si>
  <si>
    <t>10.1021/jp984241t</t>
  </si>
  <si>
    <t>202HP</t>
  </si>
  <si>
    <t>WOS:000080646500012</t>
  </si>
  <si>
    <t>Livingston, FE; George, SM</t>
  </si>
  <si>
    <t>Effect of HNO3 and HCl on HDO diffusion on crystalline D2O ice multilayers</t>
  </si>
  <si>
    <t>INDUCED THERMAL-DESORPTION; X-RAY TOPOGRAPHY; ANTARCTIC OZONE; CIRRUS CLOUDS; WATER-ICE; ASTROPHYSICAL IMPLICATIONS; HETEROGENEOUS REACTIONS; POLAR STRATOSPHERE; SURFACE-DIFFUSION; HYDROGEN-CHLORIDE</t>
  </si>
  <si>
    <t>HDO diffusion kinetics on ultrathin (25-200 BL, 90-730 Angstrom) HNO3- and HCl-dosed crystalline D2O ice multilayers were investigated using a combination of laser-induced thermal desorption (LITD) probing and isothermal desorption depth profiling. Crystalline hexagonal D2O ice multilayers were grown epitaxially on a Ru(001) single-crystal substrate. HDO diffusion into the ice bulk was measured along the c-axis of crystalline ice by monitoring the HDO and D2O LITD signals during depth profiling by isothermal multilayer desorption. The HDO diffusion rate into HNO3-dosed D2O ice films was similar to 30-70 times slower than that of HDO diffusion into pure D2O ice. The measured HDO diffusion coefficients at initial HDO and DNO3 coverages of 0.5-3.0 bilayers (BLs) ranged from D = 2.5(+/-0.3) x 10(-18) cm(2)/s at T = 150 K to D = 1.5(+/-0.2) x 10(-15) cm(2)/s at T = 173 K. Arrhenius analysis yielded diffusion kinetic parameters of D-0 = 71.9 +/- 9.2 cm(2)/s and E-A = 13.2 +/- 1.4 kcal/mol. In contrast, the HDO diffusion rate into HCl-dosed D2O ice films was similar to 10-20 times faster than that of HDO diffusion into purr D2O ice. The measured HDO diffusion coefficients at initial HDO and DCl coverages of 0.3-5.0 BL varied from D = 9.8(+/-0.7) x 10(-17) cm(2)/s at T = 146 K to D = 3.5(+/-0.2) x 10(-14) cm(2)/s at T = 161 K. Arrhenius analysis yielded diffusion kinetic parameters of D-0 = 2.4(+/-0.1) x 10(12) cm(2)/s and E-A = 19.0 +/- 0.3 kcal/mol. Measurements of HDO surface diffusion were also conducted using LITD probing to monitor the relaxation of a HDO coverage gradient on the basal (001) face of the ice multilayer. HDO surface diffusion on HNO3- and HCl-dosed ice multilayers was not observed within the resolution of the LITD experiment at 140 K. The lack of measurable HDO surface diffusion is consistent with HDO diffusion into the ice bulk at the surface diffusion temperatures. The diffusion kinetics predicted at stratospheric temperatures of T = 180-210 K indicate that H2O molecules readily diffuse into pure crystalline ice on the millisecond to microsecond time scale. In the presence of HNO3 and HCl, the H2O surface residence times are considerably increased and decreased, respectively. The effect of HNO3 and HCl on the H2O surface residence time may influence heterogeneous atmospheric chemistry by altering absorption rates into ice cloud particles.</t>
  </si>
  <si>
    <t>Univ Colorado, Dept Biochem &amp; Chem, Boulder, CO 80309 USA</t>
  </si>
  <si>
    <t>Univ Colorado, Dept Biochem &amp; Chem, Boulder, CO 80309 USA.</t>
  </si>
  <si>
    <t>George, Steven/O-2163-2013</t>
  </si>
  <si>
    <t>George, Steven/0000-0003-0253-9184</t>
  </si>
  <si>
    <t>1520-5207</t>
  </si>
  <si>
    <t>10.1021/jp9833294</t>
  </si>
  <si>
    <t>202HR</t>
  </si>
  <si>
    <t>WOS:000080646700023</t>
  </si>
  <si>
    <t>Vlastélic, I; Aslanian, D; Dosso, L; Bougault, H; Olivet, JL; Géli, L</t>
  </si>
  <si>
    <t>Large-scale chemical and thermal division of the Pacific mantle</t>
  </si>
  <si>
    <t>OCEAN-RIDGE BASALTS; ANTARCTIC RIDGE; SOUTH-PACIFIC; ISOTOPE EVIDENCE; TRACE-ELEMENT; CHILE RIDGE; DARWIN RISE; HETEROGENEITY; GEOCHEMISTRY; SR</t>
  </si>
  <si>
    <t>Isotope analyses of mid-ocean-ridge basalts have led to the identification of large-scale geochemical provinces, with a clear distinction between the Pacific and the Atlantic or Indian Ocean basins(1,2), It is widely believed that Pacific ridges are formed from a single, fairly well mixed mantle reservoir(3), extending from the Australian-Antarctic discordance to the Juan de Fuca ridge and representing one of the largest chemically coherent mantle domains on the Earth(4,5). However, the evidence for this conception is mostly based on samples from the northern Pacific ridges. Here we report Sr, Nd and Pb isotope data from the Pacific Antarctic ridge that reveal different isotopic signatures north and south of the Easter microplate (25 degrees S). The evidence for two large-scale geochemical domains is further strengthened by the observation of different average depths of the ridge axes north and south of the 25 degrees S boundary. This boundary is located at the southeastern end of the Darwin rise/Pacific Superswell area(6), which is interpreted as a zone of upwelling(7) from the lower mantle that has persisted since Cretaceous times. We propose that this upwelling has led to the separation into true mantle domains with their own convective histories, producing slight differences in their average isotopic signatures and thermal regimes.</t>
  </si>
  <si>
    <t>IFREMER, UMR 6538, Domaines Ocean, F-29280 Plouzane, France; IFREMER, F-292280 Plouzane, France</t>
  </si>
  <si>
    <t>Ifremer; Centre National de la Recherche Scientifique (CNRS); CNRS - National Institute for Earth Sciences &amp; Astronomy (INSU); Universite de Bretagne Occidentale; Ifremer</t>
  </si>
  <si>
    <t>IFREMER, UMR 6538, Domaines Ocean, F-29280 Plouzane, France.</t>
  </si>
  <si>
    <t>Laure.Dosso@ifrc.mer.fr</t>
  </si>
  <si>
    <t>Dosso, Laure/A-9520-2009; Aslanian, Daniel/JWA-0851-2024</t>
  </si>
  <si>
    <t>Aslanian, Daniel/0000-0002-9394-606X; Geli, Louis/0000-0001-7049-4577</t>
  </si>
  <si>
    <t>NATURE PUBLISHING GROUP</t>
  </si>
  <si>
    <t>MACMILLAN BUILDING, 4 CRINAN ST, LONDON N1 9XW, ENGLAND</t>
  </si>
  <si>
    <t>10.1038/20664</t>
  </si>
  <si>
    <t>200PA</t>
  </si>
  <si>
    <t>WOS:000080547800057</t>
  </si>
  <si>
    <t>Huang, MH; Bania, TM; Bolatto, A; Chamberlin, RA; Ingalls, JG; Jackson, JM; Lane, AP; Stark, AA; Wilson, RW; Wright, GA</t>
  </si>
  <si>
    <t>Atomic carbon observations of southern hemisphere HII regions</t>
  </si>
  <si>
    <t>HII regions; ISM : atoms; ISM : molecules</t>
  </si>
  <si>
    <t>H-II REGIONS; CO; CLOUDS</t>
  </si>
  <si>
    <t>We report observations of atomic carbon (C I [P-3(1) --&gt; P-3(0)]) for a sample of 49 southern hemisphere H II regions using the Antarctic Submillimeter Telescope and Remote Observatory. The sources are compact and isolated members of the Wilson et al. H109 alpha radio recombination line (RRL) catalog. The fourth Galactic quadrant is well covered by the sample. Atomic carbon emission is detected toward all of the regions, with multiple C I emission components found toward most sources. The RRL velocity is used to identify the C I emission associated with the H II region. We measure the mean velocity difference between the C I and RRL emission to be 0.8 +/- 2.8 km s(-1) Within the measurement errors this is exact agreement in velocity; we conclude that all H II regions have associated C I emission. The mean C I line temperature of these components is 2.4 +/- 1.8 K, compared with 0.7 +/- 0.7 K for the C I emission components not associated with the H II region. This suggests that C I intensity is dominated by local heating. The FWHM line width of C I gas associated with H II regions also is marginally greater than that found for unassociated gas (6.7 +/- 3.0, compared with 4.8 +/- 2.4 km s(-1)).</t>
  </si>
  <si>
    <t>Boston Univ, Dept Astron, Boston, MA 02215 USA; Smithsonian Astrophys Observ, Cambridge, MA 02138 USA; AT&amp;T Bell Labs, Crawford Hill Lab, Holmdel, NJ 07733 USA</t>
  </si>
  <si>
    <t>Boston University; Smithsonian Institution; Harvard University; Smithsonian Astrophysical Observatory; Nokia Corporation; Nokia Bell Labs; AT&amp;T; Alcatel-Lucent; Lucent Technologies</t>
  </si>
  <si>
    <t>Huang, MH (corresponding author), Boston Univ, Dept Astron, 725 Commonwealth Ave, Boston, MA 02215 USA.</t>
  </si>
  <si>
    <t>Bania, Thomas M/H-2318-2014; Ingalls, James/AAK-6875-2021</t>
  </si>
  <si>
    <t>Ingalls, James/0000-0003-4714-1364; Stark, Antony/0000-0002-2718-9996; Bolatto, Alberto/0000-0002-5480-5686; Wilson, Robert/0000-0001-5694-6725</t>
  </si>
  <si>
    <t>MAY 20</t>
  </si>
  <si>
    <t>10.1086/307194</t>
  </si>
  <si>
    <t>206RZ</t>
  </si>
  <si>
    <t>WOS:000080894200024</t>
  </si>
  <si>
    <t>A theoretical study of the reaction of ClONO2 with HCl on ice</t>
  </si>
  <si>
    <t>MOLECULAR-ORBITAL METHODS; VALENCE BASIS-SETS; GAUSSIAN-TYPE BASIS; CHLORINE NITRATE; ANTARCTIC OZONE; HETEROGENEOUS REACTIONS; 2ND-ROW ELEMENTS; SN2 REACTION; STRATOSPHERIC CHEMISTRY; ORGANIC-MOLECULES</t>
  </si>
  <si>
    <t>The direct ClONO2 + HCl --&gt; Cl-2 + HNO3 reaction on ice, implicated in polar stratospheric ozone depletion, is studied quantum chemically on a model ice lattice comprising nine water molecules. The reaction path is calculated at the HF/(HW*,3-21G) level, using the Hay-Wadt effective core potential for Cl. At these geometries, energies are recalculated at the MP2/(SBK+*,6-31+G*) level, with the Stevens-Bash-Krauss effective core potential for Cl. HCl is found to be ionized in the reactant complex. The calculated reaction internal energy barrier, including zero-point energy correction, is 6.4 kcal/mol. The reaction mechanism involves proton transfer in the ice lattice, accompanied by nucleophilic attack of Cl- on the Cldelta+ in ClONO2; the lattice is an active participant in the reaction. Implications for heterogeneous atmospheric chemistry are discussed.</t>
  </si>
  <si>
    <t>Hynes, JT (corresponding author), Univ Colorado, Dept Chem &amp; Biochem, Campus Box 215, Boulder, CO 80309 USA.</t>
  </si>
  <si>
    <t>hynes@spot.colorado.edu</t>
  </si>
  <si>
    <t>10.1021/jp990471b</t>
  </si>
  <si>
    <t>200XK</t>
  </si>
  <si>
    <t>WOS:000080565300001</t>
  </si>
  <si>
    <t>Bollhöfer, A; Chisholm, W; Rosman, KJR</t>
  </si>
  <si>
    <t>Sampling aerosols for lead isotopes on a global scale</t>
  </si>
  <si>
    <t>ANALYTICA CHIMICA ACTA</t>
  </si>
  <si>
    <t>ion exchange chemistry; lead isotopes; sampling aerosols; PTFE; TIMS</t>
  </si>
  <si>
    <t>ATMOSPHERIC LEAD; ANTARCTIC SNOW; GREENLAND; POLLUTION; RATIOS; SEDIMENTS; ICE; AIR; TRANSPORT; METALS</t>
  </si>
  <si>
    <t>To reliably sample aerosols in a wide range of environments from the polluted to the almost pristine, ultra-clean materials, procedures and laboratory conditions are needed. Also, when multiple samples need to be taken at numerous sites the sampling procedures need to be simple and the equipment inexpensive and easy to operate. A system described here which meets these requirements uses a disposable plastic monitor fitted with an acid-cleaned PTFE 0.45 mu m front and a 30-60 mu m backing filter connected to a small diaphragm pump. When ion exchange chemistry is required the system gives a Pb blank of similar to 70 pg. Without ion exchange chemistry the blank amounts to similar to 15 pg on a complete filter sectioned into 8-pi/4 sectors giving reliable isotopic data on filters containing &gt;400 pg of Pb. The lowest blank on the complete filter, without cutting, is 11+/-8 pg which permits Pb isotopes from aerosols to be measured on a similar to 120 pg sized sample with acceptable accuracy and precision (0.2% for Pb-206/Pb-207 and Pb-208/Pb-207 ratios). The factor limiting the quality of measurements below this level is the uncertainty in the blank contribution and not the sensitivity of the thermal ionisation mass spectrometer used here. The analysis of selected filters from the United Kingdom and the Republic of Ireland are used to illustrate the method. Air containing 0.11 ng m(-3) of Pb yielded isotopic ratios Pb-206/Pb-207=1.083+/-0.003, Pb-208/Pb-207=2.361+/-0.003 and Pb-206/ Pb-204=16.9+/-0.3. (C) 1999 Elsevier Science B.V. All rights reserved.</t>
  </si>
  <si>
    <t>Curtin Univ Technol, Dept Appl Phys, Bentley, WA 6845, Australia</t>
  </si>
  <si>
    <t>Curtin University</t>
  </si>
  <si>
    <t>Bollhöfer, A (corresponding author), Curtin Univ Technol, Dept Appl Phys, Bentley, WA 6845, Australia.</t>
  </si>
  <si>
    <t>Bollhoefer, Andreas/0000-0001-8564-6529</t>
  </si>
  <si>
    <t>0003-2670</t>
  </si>
  <si>
    <t>ANAL CHIM ACTA</t>
  </si>
  <si>
    <t>Anal. Chim. Acta</t>
  </si>
  <si>
    <t>MAY 19</t>
  </si>
  <si>
    <t>10.1016/S0003-2670(99)00182-8</t>
  </si>
  <si>
    <t>Chemistry, Analytical</t>
  </si>
  <si>
    <t>200RY</t>
  </si>
  <si>
    <t>WOS:000080554900026</t>
  </si>
  <si>
    <t>Uchino, O; Bojkov, RD; Balis, DS; Akagi, K; Hayashi, M; Kajihara, R</t>
  </si>
  <si>
    <t>Essential characteristics of the Antarctic-spring ozone decline: Update to 1998</t>
  </si>
  <si>
    <t>Using both ground-based and satellite data up to December 1998, the intensity, duration, appearance at both horizontal and vertical scales and ozone-mass deficiency (O3MD) of the severe ozone decline observed over the southern polar region are presented. Over the last six years: the depletion within the ozone hole area (i.e. total ozone amounts &lt;220 m atm-cm) is almost three times more severe than in the early 1980s, the ozone hole (O(3)h) area has exceeded 22 million km(2) at its maximum, and the lowest total ozone was similar to 100 m atm-cm. However, during the 1998 season for the first time for nearly 20 days the O(3)h area exceeded 25 million km(2), and the integrated O3MD during September-October, poleward of 60 degrees S, exceeded the average value of the 1990s by similar to 25%. At the beginning of the 1980s, ozone hole values were observed mostly in October, but more recently, they frequently continue until mid-December. The depletion was most severe in the 12-20 km layer over Antarctica: similar to 70% in September, similar to 90% in October and similar to 80% in November. Related to this, the monthly mean lower stratospheric temperatures between 70-90 degrees S have declined by similar to 10 degrees C in October. similar to 12 degrees C in November and by similar to 5 degrees C in December. Tailing the last six years seasonally integrated O3MD over the area poleward of 60 degrees S (average similar to 6,300 Mt) is about a third greater than the O3MD over the northern polar region winter-springs. Over the southern mid-latitudes O3MD is about a third less than the deficiency observed between 35-55 degrees N.</t>
  </si>
  <si>
    <t>World Meteorol Org, Geneva 2, Switzerland; Atmospher Environm Serv, Downsview, ON, Canada; Aristotelian Univ Salonika, Lab Atmospher Phys, Salonika, Greece; Japan Meteorol Agcy, Tokyo, Japan</t>
  </si>
  <si>
    <t>Environment &amp; Climate Change Canada; Meteorological Service of Canada; Aristotle University of Thessaloniki; Japan Meteorological Agency</t>
  </si>
  <si>
    <t>Bojkov, RD (corresponding author), World Meteorol Org, Geneva 2, Switzerland.</t>
  </si>
  <si>
    <t>Balis, Dimitris/0000-0003-1161-7746</t>
  </si>
  <si>
    <t>MAY 15</t>
  </si>
  <si>
    <t>10.1029/1999GL900277</t>
  </si>
  <si>
    <t>197PR</t>
  </si>
  <si>
    <t>WOS:000080374500009</t>
  </si>
  <si>
    <t>Smolskaia, I; Nunez, M; Michael, K</t>
  </si>
  <si>
    <t>Measurements of erythemal irradiance near Davis station, Antarctica: Effect of inhomogeneous surface albedo</t>
  </si>
  <si>
    <t>To examine effects of inhomogeneous surface albedo on UV irradiance, measurements were taken near Davis Station (68.58 degrees S, 77.97 degrees E), East Antarctica during November/December 1997. Data were collected in transects perpendicular to an ice/water boundary, while one instrument continuously measured at the ice edge. Irradiances along transects were normalised by coincident measurements at the ice edge. Systematic differences in downwelling irradiance near the ice edge were observed over the highly reflective surface and open water. For cloudless conditions, the relative change in irradiance reached limiting values of about +5% from the ice edge to a point 2.5 km over snow-covered ice, and about -5% from the ice edge to a point 2.5 km over water. In overcast conditions, higher relative changes were observed (about +30% from the ice edge to a point 2.5 km over ice on 17 November 1997) with no sign of a constant relative change being reached.</t>
  </si>
  <si>
    <t>Univ Tasmania, Antarctic CRC, Hobart, Tas 7001, Australia; Univ Tasmania, Inst Antarctic &amp; So Ocean Studies, Hobart, Tas 7001, Australia; Univ Tasmania, Sch Geog &amp; Environm Studies, Hobart, Tas 7001, Australia</t>
  </si>
  <si>
    <t>University of Tasmania; University of Tasmania; University of Tasmania</t>
  </si>
  <si>
    <t>Univ Tasmania, Inst Antarctic &amp; So Ocean Studies, GPO Box 252-77, Hobart, Tas 7001, Australia.</t>
  </si>
  <si>
    <t>Irina.Smolskaia@utas.edu.au; M.Nunez@utas.edu.au; Kelvin.Michael@utas.edu.au</t>
  </si>
  <si>
    <t>Michael, Kelvin/J-7217-2014</t>
  </si>
  <si>
    <t>Michael, Kelvin/0000-0002-5427-7393</t>
  </si>
  <si>
    <t>10.1029/1999GL900190</t>
  </si>
  <si>
    <t>WOS:000080374500010</t>
  </si>
  <si>
    <t>Zwartz, D; Tregoning, P; Lambeck, K; Johnston, P; Stone, J</t>
  </si>
  <si>
    <t>Estimates of present-day glacial rebound in the Lambert Glacier region, Antarctica</t>
  </si>
  <si>
    <t>SEA-LEVEL CHANGE; ICE-SHEET; LATE PLEISTOCENE; MODEL</t>
  </si>
  <si>
    <t>Changes in the ice load since the time of the Last Glacial Maximum (LGM) contribute to the present-day vertical motion of the Antarctic continent. The observation of these motions will reveal information on the ice load history. Predictions of uplift rates along a transect across the Lambert Glacier region, East Antarctica, from the coast to the southernmost rock outcrops of the Prince Charles Mountains have been computed for three deglaciation scenarios. The relative vertical velocities between sites on the transect are -7 to +7 mm/yr and are large enough to be detected from continuous GPS observations taken at permanent sites over several years. When available, such information will discriminate between the currently available models for deglaciation of East Antarctica.</t>
  </si>
  <si>
    <t>Australian Natl Univ, Res Sch Earth Sci, Canberra, ACT 0200, Australia</t>
  </si>
  <si>
    <t>Australian National University</t>
  </si>
  <si>
    <t>Zwartz, D (corresponding author), Univ Utrecht, IMAU, Princetonplein 5, NL-3584 CC Utrecht, Netherlands.</t>
  </si>
  <si>
    <t>Tregoning, Paul/D-9283-2013; Tregoning, Paul/N-4842-2018; Johnston, Paul/N-7117-2018; Johnston, Paul/C-2449-2013</t>
  </si>
  <si>
    <t>Tregoning, Paul/0000-0001-7192-5391; Tregoning, Paul/0000-0001-7192-5391; Johnston, Paul/0000-0001-8605-0620;</t>
  </si>
  <si>
    <t>10.1029/1999GL900257</t>
  </si>
  <si>
    <t>WOS:000080374500030</t>
  </si>
  <si>
    <t>Moore, JK; Abbott, MR; Richman, JG; Smith, WO; Cowles, TJ; Coale, KH; Gardner, WD; Barber, RT</t>
  </si>
  <si>
    <t>SeaWiFS satellite ocean color data from the Southern Ocean</t>
  </si>
  <si>
    <t>SeaWiFS estimates of surface chlorophyll concentrations are reported for the region of the U.S. JGOFS study in the Southern Ocean (similar to 170 degrees W, 60 degrees S). Elevated chlorophyll was observed at the Southern Ocean fronts, near the edge of the seasonal ice sheet, and above the Pacific-Antarctic Ridge. The elevated chlorophyll levels associated with the Pacific-Antarctic Ridge are surprising since even the crest of the ridge is at depths &gt; 2000 m. This elevated phytoplankton biomass is likely the result of mesoscale physical-biological interactions where the Antarctic Circumpolar Current (ACC) encounters the ridge. Four cruises surveyed this region between October 1997 and March 1998, as part of the U.S. JGOFS. Satellite-derived chlorophyll concentrations were compared with in situ extracted chlorophyll measurements from these cruises. There was good agreement (r(2) of 0.72, from a linear regression of shipboard vs, satellite chlorophyll), although SeaWiFS underestimated chlorophyll concentrations relative to the ship data.</t>
  </si>
  <si>
    <t>Oregon State Univ, Coll Ocean &amp; Atmospher Sci, Corvallis, OR 97331 USA; Virginia Inst Marine Sci, Gloucester Point, VA 23062 USA; Moss Landing Marine Labs, Moss Landing, CA 95039 USA; Texas A&amp;M Univ, Dept Oceanog, College Stn, TX 77843 USA; Duke Univ, Marine Lab, NSOE, Beaufort, NC 28516 USA</t>
  </si>
  <si>
    <t>Oregon State University; William &amp; Mary; Virginia Institute of Marine Science; Moss Landing Marine Laboratories; Texas A&amp;M University System; Texas A&amp;M University College Station; Duke University</t>
  </si>
  <si>
    <t>Moore, JK (corresponding author), Oregon State Univ, Coll Ocean &amp; Atmospher Sci, 104 Ocean Adm Bldg, Corvallis, OR 97331 USA.</t>
  </si>
  <si>
    <t>Abbott, Mark R/J-8445-2016; Gardner, Wilford D/E-2579-2012</t>
  </si>
  <si>
    <t>10.1029/1999GL900242</t>
  </si>
  <si>
    <t>WOS:000080374500031</t>
  </si>
  <si>
    <t>Watkins, AB; Simmonds, I</t>
  </si>
  <si>
    <t>A late spring surge in the open water of the Antarctic sea ice pack</t>
  </si>
  <si>
    <t>SENSITIVITY</t>
  </si>
  <si>
    <t>Mean annual cycles of open water area within the Antarctic sea ice pack are presented for 1978-87 and 1987-97, compiled using mean daily data. A minimum of the open water area occurs in mid February, followed by a steady increase until a plateau is established in October, before a sudden surge in early November to a peak of 4.5 x 10(6) km(2). As this Antarctic Open water Surge (AOS) occurs on timescales of around one month, its temporal structure only becomes truly clear when using daily means. The AOS is shown to be the result of the relative timings of the sea ice area and extent annual cycles. It is suggested these reflect the late spring crossing of the Antarctic circumpolar trough over the sea ice edge, thus shifting the dominant winds (Ekman forcing) from westerly (northerly) to easterly (southerly).</t>
  </si>
  <si>
    <t>Monash Univ, Cooperat Res Ctr So Hemisphere Meteorol, Clayton, Vic 3168, Australia; Univ Melbourne, Sch Earth Sci, Parkville, Vic 3052, Australia</t>
  </si>
  <si>
    <t>Monash University; University of Melbourne</t>
  </si>
  <si>
    <t>Watkins, AB (corresponding author), Monash Univ, Cooperat Res Ctr So Hemisphere Meteorol, Clayton, Vic 3168, Australia.</t>
  </si>
  <si>
    <t>10.1029/1999GL900292</t>
  </si>
  <si>
    <t>WOS:000080374500035</t>
  </si>
  <si>
    <t>Hughes, RL; O'Farrell, SP</t>
  </si>
  <si>
    <t>Spatially growing Rossby lee waves: Implications for a coupled ocean-atmosphere global circulation model</t>
  </si>
  <si>
    <t>ANTARCTIC CIRCUMPOLAR CURRENT; QUASI-GEOSTROPHIC MODEL; LARGE-SCALE CIRCULATION; SOUTH INDIAN-OCEAN; BETA-PLANE CHANNEL; TOPEX/POSEIDON ALTIMETRY; WIND-DRIVEN; VARIABILITY; TOPOGRAPHY; TRANSPORT</t>
  </si>
  <si>
    <t>Large-amplitude Rossby lee waves are observed in the Southern Ocean of an ocean general circulation model, These waves result in a reduced ability of an associated coupled ocean-atmosphere general circulation model to model the observed sea ice distribution around Antarctica. To understand this behavior, Rossby lee waves within a meridionally sheared eastward directed ocean current are investigated theoretically. It is found that shearing the current results in a significant asymmetry in the lee wave field, the amplitude of which increases linearly downstream. In the regions where the meridional gradient of the sheer exceeds beta but is of opposite sign, there are no Rossby lee waves. Waves are trapped to the region where beta dominates. Investigation of the ocean general circulation model shows that the meridional shear does nor exceed beta, However, the meridional gradient of Ertel's potential vorticity, a more appropriate quantity in a continuously stratified ocean general circulation model, is negative as required.</t>
  </si>
  <si>
    <t>Univ Melbourne, Dept Civil &amp; Environm Engn, Parkville, Vic 3052, Australia; CSIRO, Div Atmospher Res, Aspendale, Vic 3195, Australia</t>
  </si>
  <si>
    <t>University of Melbourne; Commonwealth Scientific &amp; Industrial Research Organisation (CSIRO)</t>
  </si>
  <si>
    <t>Hughes, RL (corresponding author), Univ Melbourne, Dept Civil &amp; Environm Engn, Parkville, Vic 3052, Australia.</t>
  </si>
  <si>
    <t>r.huges@civag.unimelb.edu.au; spo@dar.csiro.au</t>
  </si>
  <si>
    <t>C5</t>
  </si>
  <si>
    <t>10.1029/1998JC900129</t>
  </si>
  <si>
    <t>198WX</t>
  </si>
  <si>
    <t>WOS:000080448200008</t>
  </si>
  <si>
    <t>Weisse, R; Mikolajewicz, U; Sterl, A; Drijfhout, SS</t>
  </si>
  <si>
    <t>Stochastically forced variability in the Antarctic Circumpolar Current</t>
  </si>
  <si>
    <t>PRINCIPAL OSCILLATION PATTERNS; SEA-SURFACE TEMPERATURE; MEAN CIRCULATION; OCEAN; ATMOSPHERE; WAVE; MODEL; ICE; TELECONNECTIONS; ANOMALIES</t>
  </si>
  <si>
    <t>Interannual fluctuations in the Antarctic Circumpolar Current (ACC) were considered. In the present study we analyze a mode of variability in the Hamburg Large-Scale Geostrophic ocean general circulation model which was driven by stochastic atmospheric forcing. The short-term atmospheric weather fluctuations were represented by a number of spatially coherent patterns of momentum, heat, and freshwater flux which were superimposed onto the climatological fluxes, These patterns were derived from an experiment with an atmospheric general circulation model forced with observed sea surface temperatures, and they were chosen randomly at each month. We found anomalies which propagate along the ACC at an interannual timescale. They can be explained by the combined effects of anomaly advection with the mean ocean circulation and integration of the short-term atmospheric weather fluctuations, Some similarities were found between our results and the concept of the Antarctic Circumpolar Wave, which was proposed recently to account for large-scale anomalies which propagate along the ACC in both the atmosphere and the ocean.</t>
  </si>
  <si>
    <t>Max Planck Inst Meteorol, D-20146 Hamburg, Germany</t>
  </si>
  <si>
    <t>GKSS Forschungszentrum Geesthacht GmbH, Inst Gewasserphys, Max Planck Str 1, D-21502 Geesthacht, Germany.</t>
  </si>
  <si>
    <t>weisse@gkss.de; mikolaje-wicz@dkrz.de; sterl@knmi.nl; drijfhou@knmi.nl</t>
  </si>
  <si>
    <t>Weisse, Ralf/E-7550-2013; Sterl, Andreas/AAE-7174-2020; Drijfhout, Sybren/I-4230-2016</t>
  </si>
  <si>
    <t>Weisse, Ralf/0000-0001-7449-6166; Sterl, Andreas/0000-0003-3457-0434; Drijfhout, Sybren/0000-0001-5325-7350</t>
  </si>
  <si>
    <t>10.1029/1999JC900040</t>
  </si>
  <si>
    <t>WOS:000080448200011</t>
  </si>
  <si>
    <t>Jauhiainen, T; Moore, J; Perämäki, P; Derome, J; Derome, K</t>
  </si>
  <si>
    <t>Simple procedure for ion chromatographic determination of anions and cations at trace levels in ice core samples</t>
  </si>
  <si>
    <t>ice core; ion chromatography; anions; cations</t>
  </si>
  <si>
    <t>ANTARCTIC ICE; METHANESULFONIC-ACID; SNOW; SUPPRESSORS; SULFATE; FORMATE; ACETATE</t>
  </si>
  <si>
    <t>Several suppressed and non-suppressed ion chromatography (IC) elution systems were compared for the determination of ng ml(-1) levels of major cations and anions, including formate and methyl sulphonate, in ice core samples using a small (0.2-0.8 mi) sample volume. The use of a suppression unit considerably enhanced the sensitivity of the anion determinations, but had no remarkable effect on the sensitivity of the cation determinations. Optimized analytical conditions were further validated in terms of accuracy, precision and total uncertainty and the results showed the reliability of the IC methods. In addition, contamination problems associated with handling the ice core were investigated, and a simple and almost contamination free ice handling procedure is presented. (C) 1999 Elsevier Science B.V. All rights reserved.</t>
  </si>
  <si>
    <t>Univ Lapland, Arctic Ctr, FIN-96101 Rovaniemi, Finland; Oulu Univ, Dept Chem, FIN-90731 Oulu, Finland; Finnish Forest Res Inst, Rovaniemi Res Stn, FIN-96301 Rovaniemi, Finland</t>
  </si>
  <si>
    <t>University of Lapland; University of Oulu; Natural Resources Institute Finland (Luke)</t>
  </si>
  <si>
    <t>Jauhiainen, T (corresponding author), Univ Lapland, Arctic Ctr, Box 122, FIN-96101 Rovaniemi, Finland.</t>
  </si>
  <si>
    <t>tauno.jauhiainen@metla.fi</t>
  </si>
  <si>
    <t>Moore, John C/B-2868-2013</t>
  </si>
  <si>
    <t>Moore, John C/0000-0001-8271-5787; Peramaki, Paavo/0000-0001-7106-5678</t>
  </si>
  <si>
    <t>1873-4324</t>
  </si>
  <si>
    <t>MAY 14</t>
  </si>
  <si>
    <t>10.1016/S0003-2670(99)00185-3</t>
  </si>
  <si>
    <t>200FA</t>
  </si>
  <si>
    <t>WOS:000080527900003</t>
  </si>
  <si>
    <t>Chapelle, G; Peck, LS</t>
  </si>
  <si>
    <t>Polar gigantism dictated by oxygen availability</t>
  </si>
  <si>
    <t>HEMOLYMPH; BINDING</t>
  </si>
  <si>
    <t>Inst Royal Sci Nat Bruxelles, B-1000 Brussels, Belgium; British Antarctic Survey, Cambridge CB3 0ET, England</t>
  </si>
  <si>
    <t>Chapelle, G (corresponding author), Inst Royal Sci Nat Bruxelles, Rue Vautier 29, B-1000 Brussels, Belgium.</t>
  </si>
  <si>
    <t>MAY 13</t>
  </si>
  <si>
    <t>10.1038/20099</t>
  </si>
  <si>
    <t>196XU</t>
  </si>
  <si>
    <t>WOS:000080335700033</t>
  </si>
  <si>
    <t>Couturier-Tamburelli, I; Chiavassa, T; Pourcin, J</t>
  </si>
  <si>
    <t>Adsorption desorption of carbon suboxide (C3O2) on amorphous and crystalline ice films monitored by infrared spectroscopy</t>
  </si>
  <si>
    <t>WATER-ICE; ASTROPHYSICAL IMPLICATIONS; ANTARCTIC OZONE; SURFACES; SPECTRA; HOLE</t>
  </si>
  <si>
    <t>The carbon suboxide (C3O2) interactions with amorphous or crystalline ice surfaces in high vacuum are studied using temperature-programmed desorption (TPD) monitored by Fourier transform infrared spectroscopy (FTIR). We show clearly that unlike with crystalline film, in the 125-145 K temperature range, the adsorbate-covered amorphous ice surface presents a near monolayer state in which the C3O2 forms a hydrogen bond with the free OH groups of the ice surface. The C3O2 desorption from amorphous ice film seems to be induced by the onset of the crystallization of the amorphous ice into the cubic state. The activation energy for desorption is evaluated from a first-order regime to be 43 +/- 2 kJ mol(-1) and is consistent with the existence of a hydrogen-bonded adsorbed state.</t>
  </si>
  <si>
    <t>Univ Aix Marseille 1, Equipe Spectrometries &amp; Dynam Mol, UMR 6633, F-13397 Marseille 20, France</t>
  </si>
  <si>
    <t>Aix-Marseille Universite</t>
  </si>
  <si>
    <t>Chiavassa, T (corresponding author), Univ Aix Marseille 1, Equipe Spectrometries &amp; Dynam Mol, UMR 6633, Boite 542, F-13397 Marseille 20, France.</t>
  </si>
  <si>
    <t>MAY 6</t>
  </si>
  <si>
    <t>10.1021/jp983517u</t>
  </si>
  <si>
    <t>196HW</t>
  </si>
  <si>
    <t>WOS:000080303800027</t>
  </si>
  <si>
    <t>Niello, JOF; Alvarez, DE; Ferrero, AMJ; Capurro, OA; Abriola, D; Martí, GV; Pacheco, AJ; Testoni, JE; Liberman, RG</t>
  </si>
  <si>
    <t>AMS measurements of South American rainwater samples</t>
  </si>
  <si>
    <t>ACTA PHYSICA POLONICA B</t>
  </si>
  <si>
    <t>International Conference on Nuclear Physics Close to the Barrier</t>
  </si>
  <si>
    <t>JUN 30-JUL 04, 1998</t>
  </si>
  <si>
    <t>WARSAW, POLAND</t>
  </si>
  <si>
    <t>TANDAR ACCELERATOR; CL-36</t>
  </si>
  <si>
    <t>Accelerator mass spectrometry (AMS) is one of the most powerful applications of heavy-ion beams in fields not directly related to nuclear physics basic research. The development of this highly sensitive technique at the electrostatic accelerator of the TANDAR laboratory has recently been accomplished. Aiming at environmental applications of our AMS activities, we have established a research program using the long-lived radioisotope Cl-36 as an atmospheric tracer, in cooperation with the AMS group of the Technical University of Munich. The subject of the investigation was the global fallout of Cl-36 and its latitudinal distribution. Precipitation samples were collected at different latitudes in Argentina, Chile, and Antarctic, covering a range from 24 degrees S to 62 degrees S. The resulting Cl-36/Cl ratios varied from 1 x 10(-14) to 62 x 10(-14). Systematics studies of this radioisotope may provide a monitor for atmospheric releases (anthropogenic contribution) and a baseline for natural Cl-36 concentration.</t>
  </si>
  <si>
    <t>Comis Nacl Energia Atom, Dept Fis, RA-1429 Buenos Aires, DF, Argentina; Tech Univ Munich, D-85748 Garching, Germany</t>
  </si>
  <si>
    <t>Comision Nacional de Energia Atomica (CNEA); Technical University of Munich</t>
  </si>
  <si>
    <t>Niello, JOF (corresponding author), Comis Nacl Energia Atom, Dept Fis, Ave Libertador 8250, RA-1429 Buenos Aires, DF, Argentina.</t>
  </si>
  <si>
    <t>ferrero, anna maria/H-1490-2012</t>
  </si>
  <si>
    <t>Abriola, Daniel/0000-0002-2939-2218</t>
  </si>
  <si>
    <t>ACTA PHYSICA POLONICA B, JAGELLONIAN UNIV, INST PHYSICS</t>
  </si>
  <si>
    <t>KRAKOW</t>
  </si>
  <si>
    <t>REYMONTA 4, 30-059 KRAKOW, POLAND</t>
  </si>
  <si>
    <t>0587-4254</t>
  </si>
  <si>
    <t>ACTA PHYS POL B</t>
  </si>
  <si>
    <t>Acta Phys. Pol. B</t>
  </si>
  <si>
    <t>MAY</t>
  </si>
  <si>
    <t>Physics, Multidisciplinary</t>
  </si>
  <si>
    <t>212AN</t>
  </si>
  <si>
    <t>WOS:000081194200049</t>
  </si>
  <si>
    <t>Shroder, JF; Scheppy, RA; Bishop, MP</t>
  </si>
  <si>
    <t>Denudation of small alpine basins, Nanga Parbat Himalaya, Pakistan</t>
  </si>
  <si>
    <t>KARAKORAM HIMALAYA; RAPID DENUDATION; KAGHAN VALLEY; GLACIER</t>
  </si>
  <si>
    <t>Thirty-three debris fans and five small alpine basins on the south side of the rapidly uplifting Nanga Parbat Himalaya of northern Pakistan were assessed to determine how much alpine processes contribute to the overall denudation of the massif. A high-resolution digital elevation model was used to measure the volume of the small alpine fans and a few basins in the Rupal valley. These volumetric estimates, coupled with time-constraining dates from cosmogenic-nuclides of glacially exposed rocks and infrared-stimulated luminescence of sediments, indicate that estimated average denudation rates in these systems have been similar to 2 mm yr(-1) over the past 4600 to 6000 yr since the last major deglaciation. This is similar to other estimates of rates of denudation in the Himalaya.</t>
  </si>
  <si>
    <t>Univ Nebraska, Dept Geog &amp; Geol, Omaha, NE 68182 USA; Univ Kansas, Dept Geol, Lawrence, KS 66045 USA</t>
  </si>
  <si>
    <t>University of Nebraska System; University of Kansas</t>
  </si>
  <si>
    <t>Univ Nebraska, Dept Geog &amp; Geol, Omaha, NE 68182 USA.</t>
  </si>
  <si>
    <t>shroder@cwis.unomaha.edu</t>
  </si>
  <si>
    <t>Shroder, John Ford/AAB-3059-2022; Shroder, John Ford/AFM-3167-2022</t>
  </si>
  <si>
    <t>Shroder, John Ford/0000-0002-5009-5592; Shroder, John Ford/0000-0002-5009-5592</t>
  </si>
  <si>
    <t>10.2307/1552600</t>
  </si>
  <si>
    <t>211KV</t>
  </si>
  <si>
    <t>WOS:000081160900001</t>
  </si>
  <si>
    <t>Baumann, F; Kaiser, KF</t>
  </si>
  <si>
    <t>The Multetta debris fan, eastern Swiss Alps: A 500-year debris flow chronology</t>
  </si>
  <si>
    <t>The opening up of the Alps for tourism has increased the risk potential from natural hazards, one of the greatest of which is debris flows. Since 1996 we have been studying the debris fan of Multetta above Tschierv in Val Mustair in the Swiss Alps to determine the dates and hence the frequency of debris flows. Abrupt growth changes, impact scars, and the formation of adventitious roots allowed precise dating by dendrochronological methods in cases where tree ring characteristics occurred synchronously in several different trees. Six debris hows since the late 15th century could be recognized, occurring at the end of the 15th century, and in 1573, 1655, 1784, 1958, and 1989, The debris deposited during the past 500 yr has formed a layer about 5 m deep. Two further debris flows were identified through scars formed in 1759 and 1837, A greater frequency of scars between the mid-18th century and the end of the 19th century indicates considerably higher morphological activity during the last peak of the Little Ice Age.</t>
  </si>
  <si>
    <t>Swiss Fed Inst Forest Snow &amp; Landscape Res, CH-8903 Birmensdorf, Switzerland; Univ Zurich, Dept Geog, CH-8057 Zurich, Switzerland</t>
  </si>
  <si>
    <t>Swiss Federal Institutes of Technology Domain; Swiss Federal Institute for Forest, Snow &amp; Landscape Research; University of Zurich</t>
  </si>
  <si>
    <t>Baumann, F (corresponding author), Swiss Fed Inst Forest Snow &amp; Landscape Res, CH-8903 Birmensdorf, Switzerland.</t>
  </si>
  <si>
    <t>10.2307/1552601</t>
  </si>
  <si>
    <t>WOS:000081160900002</t>
  </si>
  <si>
    <t>Malard, F; Tockner, K; Ward, JV</t>
  </si>
  <si>
    <t>Shifting dominance of subcatchment water sources and flow paths in a glacial floodplain, Vol Roseg, Switzerland</t>
  </si>
  <si>
    <t>SOLUTE ACQUISITION; SIERRA-NEVADA; ALPINE; MELTWATERS; GROUNDWATER; CHEMISTRY; STREAMS; RIVERS; SYSTEM; BASIN</t>
  </si>
  <si>
    <t>The influence of river-catchment hydrological interactions on discharge patterns, lotic ecosystem size, and surface water chemistry were investigated in a glacial floodplain of the Swiss Alps (Val Roseg). Discharge, the extent and form of the stream network, specific conductance, and concentrations of major ions were measured periodically at multiple sites across the floodplain from August 1996 to January 1998. These data are used to (1) describe the seasonal cycle of contraction and expansion of the floodplain channel network and (2) identify hydrochemical tracers for detecting different sources and pathways of water. The seasonal changes in discharge, spatiotemporal patterns of channel length, and water chemistry within the floodplain are linked to the shifting dominance of different hydrologic reservoirs and flow paths within the catchment. During the expansion phase in spring, snowmelt is the main source of water for the entire floodplain, although it circulates via subsuface pathways on the catchment slopes before entering the floodplain. Peak discharge and maximum expansion of the channel network in summer are associated with the melting of the glaciers. Englacial water enters the floodplain mainly via surface flow paths and is distributed across the floodplain via surface connectivity and shallow groundwater pathways. During the contraction phase in autumn, seepage of subglacial water from the main channel is the primary water source for the upper floodplain. In the lower floodplain, surface flow is sustained by upwelling of deep alluvial and hillslope groundwaters. The relative contribution of deep groundwaters increases during winter, a phase of low discharge and maximum contraction of the channel network.</t>
  </si>
  <si>
    <t>ETH, EAWAG, Dept Limnol, CH-8600 Dubendorf, Switzerland</t>
  </si>
  <si>
    <t>Swiss Federal Institutes of Technology Domain; Swiss Federal Institute of Aquatic Science &amp; Technology (EAWAG)</t>
  </si>
  <si>
    <t>Malard, F (corresponding author), Univ Lyon 1, CNRS, ESA 5023,Bat 403,Bd 11 Novembre 1918, F-69622 Villeurbanne, France.</t>
  </si>
  <si>
    <t>Tockner, Klement/G-9265-2011</t>
  </si>
  <si>
    <t>Tockner, Klement/0000-0002-0038-8151</t>
  </si>
  <si>
    <t>10.2307/1552602</t>
  </si>
  <si>
    <t>WOS:000081160900003</t>
  </si>
  <si>
    <t>Pepin, N; Benham, D; Taylor, K</t>
  </si>
  <si>
    <t>Modeling lapse rates in the maritime uplands of northern England: Implications for climate change</t>
  </si>
  <si>
    <t>SURFACE-TEMPERATURE; GREAT-BRITAIN; ELEVATION; RESPONSES</t>
  </si>
  <si>
    <t>Recent high-resolution meteorological data from the Pennines of northern England are used to study temporal variation in surface temperature lapse rates. A regression approach uncovers significant relationships between lapse rates and solar input, mean temperature, vertical mixing (modeled through wind speed), and atmospheric moisture (specific and relative humidity). Prediction of lapse rates is successful, especially during spring, summer, and autumn, with mean r(2) above 0.66 (66%). Lapse rates are shallower for higher mean temperatures and for a moister atmosphere, but steeper under increased daytime solar input. At night windy conditions increase lapse rate. In addition, synoptic influences upon lapse rate are investigated. The diurnal lapse rate cycle increases under anticyclonic influences and when flow strength is weak. Southerly airflows have shallower lapse rates. Application of the above to consider possible climate change suggests that lapse rates should be shallower in a warmer moister atmosphere, but that synoptic controls are equally influential.</t>
  </si>
  <si>
    <t>Univ Portsmouth, Dept Geog, Portsmouth PO1 3HE, Hants, England; Inst Terr Ecol, Merlewood Res Stn, Grange Sands LA11 6JU, Cumbria, England</t>
  </si>
  <si>
    <t>University of Portsmouth; UK Centre for Ecology &amp; Hydrology (UKCEH)</t>
  </si>
  <si>
    <t>Pepin, N (corresponding author), Univ Portsmouth, Dept Geog, Buckingham Bldg,Lion Terrace, Portsmouth PO1 3HE, Hants, England.</t>
  </si>
  <si>
    <t>Pepin, Nicholas/0000-0001-6200-4937</t>
  </si>
  <si>
    <t>10.2307/1552603</t>
  </si>
  <si>
    <t>WOS:000081160900004</t>
  </si>
  <si>
    <t>Aniya, M</t>
  </si>
  <si>
    <t>Recent glacier variations of the Hielos Patagonicos, South America, and their contribution to sea-level change</t>
  </si>
  <si>
    <t>CHILEAN PATAGONIA; PIO-XI; RECENT FLUCTUATIONS; SAN-RAFAEL; ICEFIELD</t>
  </si>
  <si>
    <t>Area variations of outlet glaciers of the Hielos Patagonicos (Patagonia icefields), South America, since 1944/45, are summarized, and the volume of ice loss due to recession and thinning estimated, in order to derive the contribution of the Patagonian glaciers to sea-level change. For the Hielo Patagonico Norte (HPN), variations of 22 outlet glaciers were studied for the period between 1944/45 and 1995/96. Until 1990, most glaciers retreated at increasing rates; however, since then, the retreat has slowed down. The total area loss of the HPN due to frontal recession is about 64 km(2). From the estimated ice thickness and thinning rates, a total ice loss of 152-310 km(3) was obtained for the 51 yr. In the Hielo Patagonico Sur (HPS), 48 outlet glaciers were studied for the period between 1944/45 and 1985/86. Most glaciers have been retreating, with a few remaining almost stagnant, but two glaciers, Pio XI and Perito Moreno, showed a net advance. The total area loss of the HPS due to recession was about 200 km(2). From the estimated ice thickness and thinning rates, a total ice loss was 285-670 km(3) for the period of 1945-1986. With a simple linear extrapolation to the period of 1945-1996, figures of 355-833 km(3) were obtained. The total volume reduction of the HPN and HPS is therefore roughly 825 +/- 320 km(3) for the 51-yr period. This amount roughly translates into a world-wide sea-level rise of 1.93 +/- 0.75 mm, or 0.038 mm yr(-1) since 1944/45, which accounts for 3.6% of the total sea-level change. Analyses of climatic data at several Chilean and Argentinean meteorological stations located around the icefield revealed a slight increase in air temperature and a decrease in precipitation over the last 40 to 50 yr. Other factors affecting the variation include calving status, the ratio of the accumulation area to the total area (AAR), the gradient of the glacier surface near the equilibrium line (EL), and subglacial topography.</t>
  </si>
  <si>
    <t>Univ Tsukuba, Inst Geosci, Tsukuba, Ibaraki 3058571, Japan</t>
  </si>
  <si>
    <t>University of Tsukuba</t>
  </si>
  <si>
    <t>Univ Tsukuba, Inst Geosci, Tsukuba, Ibaraki 3058571, Japan.</t>
  </si>
  <si>
    <t>aniya@atm.geo.tsukuba.ac.jp</t>
  </si>
  <si>
    <t>10.2307/1552604</t>
  </si>
  <si>
    <t>WOS:000081160900005</t>
  </si>
  <si>
    <t>Bigg, GR</t>
  </si>
  <si>
    <t>An estimate of the flux of iceberg calving from Greenland</t>
  </si>
  <si>
    <t>ICE-SHEET; SNOW ACCUMULATION; MASS-BALANCE; ELEVATION; ALTIMETRY; WATER</t>
  </si>
  <si>
    <t>Using several relationships between calving velocity and physical parameters at the glacier's entry to the ocean, estimates are made of the iceberg flux from the Greenland ice sheet. The flux from each major glacier is estimated, leading to total iceberg fluxes of 170-270 Tkg yr(-1). This figure is rather less than recent estimates of this flux derived from an assumption of equilibrium in the ice sheet mass balance. The iceberg flux is consistent with airborne altimeter measurements.</t>
  </si>
  <si>
    <t>Bigg, GR (corresponding author), Univ E Anglia, Sch Environm Sci, Norwich NR4 7TJ, Norfolk, England.</t>
  </si>
  <si>
    <t>10.2307/1552605</t>
  </si>
  <si>
    <t>WOS:000081160900006</t>
  </si>
  <si>
    <t>Nelson, FE; Shiklomanov, NI; Mueller, GR</t>
  </si>
  <si>
    <t>Variability of active-layer thickness at multiple spatial scales, north-central Alaska, USA</t>
  </si>
  <si>
    <t>KUPARUK RIVER BASIN; ARCTIC ALASKA; TUSSOCK TUNDRA; VEGETATION COMPOSITION; METHANE EMISSION; FLUX; CLIMATE; SOILS; ECOSYSTEMS; TRANSECT</t>
  </si>
  <si>
    <t>To examine the scales at which the maximum variability of active-layer thickness occurs within local areas, a nested sampling and analysis design was implemented in five 1-km(2) areas distributed over two physiographic provinces in north-central Alaska. The primary variations of thaw depth in the low-relief terrain of the Arctic Coastal Plain province occur over distances between 100 and 300 m, and are superimposed on a trend related to the regional climatic gradient. in the Arctic Foothills province, much of the variation within the study areas occurs over horizontal distances less than 3 m, and is superimposed on mesoscale variations induced by terrain climate. To achieve maximum effectiveness, research programs concerned with sampling, interpolating, or modeling thaw depth and closely related phenomena should be designed to accommodate substantial variability at multiple spatial scales.</t>
  </si>
  <si>
    <t>Univ Delaware, Dept Geog, Newark, DE 19716 USA; So Vermont Coll, Environm Studies Program, Bennington, VT 05201 USA</t>
  </si>
  <si>
    <t>University of Delaware</t>
  </si>
  <si>
    <t>Nelson, FE (corresponding author), Univ Delaware, Dept Geog, Newark, DE 19716 USA.</t>
  </si>
  <si>
    <t>fnelson@udel.edu</t>
  </si>
  <si>
    <t>Shiklomanov, NIkolay/0000-0002-8609-0240</t>
  </si>
  <si>
    <t>10.2307/1552606</t>
  </si>
  <si>
    <t>WOS:000081160900007</t>
  </si>
  <si>
    <t>Jones, MH; Fahnestock, JT; Welker, JM</t>
  </si>
  <si>
    <t>Early and late winter CO2 efflux from arctic tundra in the Kuparuk River watershed, Alaska, USA</t>
  </si>
  <si>
    <t>NORTHERN ALASKA; CARBON STORAGE; SOILS; CLIMATE; FLUXES; SEASON; SNOW; N2O</t>
  </si>
  <si>
    <t>Large amounts of soil carbon and sensitivity of arctic ecosystems to climate change is leading to increased interest in the spatial and temporal variability of CO2 release from arctic tundra during winter. The purpose of this research was to quantify early and late winter CO2 efflux along a 200-km transect of the Kuparuk River drainage in northern Alaska, from the foothills of the Brooks Range to Prudhoe Bay. Measurements were made in November 1996 and April 1997 at 25 sites which encompassed four broad tundra types, including upland tussock tundra, water tracks, tall willow riparian, and coastal plain tundra. Carbon dioxide concentrations within the snowpack were measured using a portable infrared gas analyzer, and conservative CO2 efflux estimates were calculated using a steady-state diffusion model. Mean CO2 efflux in November was 204, 314, 359, and 527 mg CO2 m(-2) d(-1) for tall willow riparian, upland tussock, coastal plain, and water track tundra, respectively, while in April means were 70, 82, 96, and 203 mg CO2 m(-2) d(-1). Snow depth and temperature exhibited no direct relationship with CO2 loss, suggesting that winter CO2 efflux from arctic tundra is controlled by additional mechanisms. Our measurements are the most spatially extensive yet made in arctic tundra.</t>
  </si>
  <si>
    <t>Univ Wyoming, Dept Renewable Resources, Laramie, WY 82071 USA</t>
  </si>
  <si>
    <t>University of Wyoming</t>
  </si>
  <si>
    <t>Jones, MH (corresponding author), Ohio State Univ, Dept Ecol Evolut &amp; Organismal Biol, Columbus, OH 43210 USA.</t>
  </si>
  <si>
    <t>10.2307/1552607</t>
  </si>
  <si>
    <t>WOS:000081160900008</t>
  </si>
  <si>
    <t>Bowman, WD; Keller, A; Nelson, M</t>
  </si>
  <si>
    <t>Altitudinal variation in leaf gas exchange, nitrogen and phosphorus contentrations, and leaf mass per area in populations of Frasera speciosa</t>
  </si>
  <si>
    <t>PHOTOSYNTHESIS; PLANTS; LEAVES; CO2</t>
  </si>
  <si>
    <t>Foliar nitrogen (N) and phosphorus (P) concentrations, leaf mass per unit area (LMA), and leaf gas exchange were measured in seven populations of Frasera speciosa along a 1700 m gradient, to assess whether altitudinal variation in net photosynthesis rates was related to foliar N and P concentrations, LMA, and stomatal conductance. A secondary goal was to evaluate whether altitudinal trends in foliar chemistry were independent of phenology of the plants. Leaf N and P concentrations per unit mass changed seasonally in all populations, but increased with altitude throughout the growing season. Leaf mass per unit area decreased with increasing altitude, unlike most other studies which have found LMA to increase with altitude. As a result foliar N per unit area of leaf did not change with increasing altitude. Net photosynthesis rates and stomatal conductance did not change with increasing altitude. Transpiration rates increased, while water-use efficiency and the mole fraction of intercellular CO(2) decreased with increasing altitude. The change in LMA was the predominant response to increasing altitude in populations of Frasera, and assuming the decrease in CO(2) partial pressure with increasing altitude imposes a constraint on photosynthesis, increased internal conductance and/or increased photosynthetic capacity may have resulted in maintenance of similar field photosynthesis rates among populations.</t>
  </si>
  <si>
    <t>Univ Colorado, Inst Arctic &amp; Alpine Res, Mt Res Stn, Boulder, CO 80309 USA; Univ Colorado, Dept Environm Populat &amp; Organism Biol, Boulder, CO 80309 USA</t>
  </si>
  <si>
    <t>University of Colorado System; University of Colorado Boulder; University of Colorado System; University of Colorado Boulder</t>
  </si>
  <si>
    <t>Bowman, WD (corresponding author), Univ Colorado, Inst Arctic &amp; Alpine Res, Mt Res Stn, Boulder, CO 80309 USA.</t>
  </si>
  <si>
    <t>bowman@spot.colorado.edu</t>
  </si>
  <si>
    <t>10.2307/1552608</t>
  </si>
  <si>
    <t>WOS:000081160900009</t>
  </si>
  <si>
    <t>Sandvik, SM; Totland, O; Nyléhn, J</t>
  </si>
  <si>
    <t>Breeding system and effects of plant size and flowering time on reproductive success in the alpine herb Saxifraga stellaris L.</t>
  </si>
  <si>
    <t>RANUNCULUS-ADONEUS; SEED SET; PHENOLOGY; POLLINATION; CONSEQUENCES; POPULATION; SEASON; NORWAY</t>
  </si>
  <si>
    <t>The pollination and reproductive ecology of Saxifraga stellaris was investigated in alpine southwest Norway. A breeding system analysis, with performance of controlled crosses, revealed that S. stellaris is self-compatible and that reproductive success after cross- and self-pollination is equal. Relative autodeposition efficiency (i.e. mean seed:ovule ratio in caged, nonmanipulated Plants relative to mean seed:ovule ratio of control plants) was, however, low (0.29, suggesting that S. stellaris depends on insect visitation for maximum seed set. Seed set is not restricted by pollen availability, as indicated by a supplemental hand-pollination experiment. Plant size had a strong positive impact on ovule number, which in turn was positively correlated with seed number. Plant size also had a positive influence on seed weight. Seed weight was lowest for late-flowering plants, suggesting that shorter time for seed maturation and lower temperatures late in the season restrict seed weight. No correlations between flowering date and seed number were found, perhaps because the pollinators are relatively insensitive to temperature conditions and thus their activity does not change through the flowering season of S. stellaris.</t>
  </si>
  <si>
    <t>Agder Coll, Dept Sci, N-4604 Kristiansand, Norway; Univ Bergen, Dept Bot, N-5007 Bergen, Norway; Univ Oslo, Dept Biol, N-0316 Oslo, Norway</t>
  </si>
  <si>
    <t>University of Agder; University of Bergen; University of Oslo</t>
  </si>
  <si>
    <t>Sandvik, SM (corresponding author), Agder Coll, Dept Sci, Kongsgard Alle 20, N-4604 Kristiansand, Norway.</t>
  </si>
  <si>
    <t>10.2307/1552609</t>
  </si>
  <si>
    <t>WOS:000081160900010</t>
  </si>
  <si>
    <t>Bergstrom, DM; Selkirk, PM</t>
  </si>
  <si>
    <t>Bryophyte propagule banks in a feldmark on subantarctic Macquarie Island</t>
  </si>
  <si>
    <t>Subantarctic Macquarie Island has substantial areas of feldmark on its plateau above 200 m altitude. Samples of the substrate (5.5 cm in depth) from bare areas of feldmark contained viable propagules of bryophyte species found at adjacent and distant sites on the island. In laboratory conditions propagules of 15 bryophyte taxa germinated, allowing interpretation of reasons for bare patches in feldmark: bryophytes were successful at colonizing stable ground but when surface movement was present, burial and/or damage of propagules and young plants prevented colonization. Spherical moss polsters found in cryoturbatic areas in feldmark, however, represent a growth form that can tolerate surface movement. A conceptual model illustrating processes associated with colonization dynamics of bryophytes on feldmark terraces is presented. Ten of the 15 germinated taxa were nonlocal taxa which currently grow in plant communities at lower and hence warmer altitudes on Macquarie Island. The presence of viable propagules of these taxa provide an immediate and constant potential for dramatic vegetation change with climate change.</t>
  </si>
  <si>
    <t>Univ Queensland, Dept Bot, Brisbane, Qld 4072, Australia; Macquarie Univ, Dept Biol Sci, Sydney, NSW 2109, Australia</t>
  </si>
  <si>
    <t>University of Queensland; Macquarie University</t>
  </si>
  <si>
    <t>Bergstrom, DM (corresponding author), Univ Queensland, Dept Bot, Brisbane, Qld 4072, Australia.</t>
  </si>
  <si>
    <t>Bergstrom, Dana/AAC-2837-2022</t>
  </si>
  <si>
    <t>Bergstrom, Dana/0000-0001-8484-8954</t>
  </si>
  <si>
    <t>10.2307/1552610</t>
  </si>
  <si>
    <t>WOS:000081160900011</t>
  </si>
  <si>
    <t>Wolff, EW; Suttie, ED; Peel, DA</t>
  </si>
  <si>
    <t>Antarctic snow record of cadmium, copper, and zinc content during the twentieth century</t>
  </si>
  <si>
    <t>ATMOSPHERIC ENVIRONMENT</t>
  </si>
  <si>
    <t>Antarctica; heavy metals; pollution; trend; emission inventories</t>
  </si>
  <si>
    <t>HEAVY-METALS; LEAD POLLUTION; TRACE-METALS; ICE; CONTAMINATION; HEMISPHERE</t>
  </si>
  <si>
    <t>A snowpit in Coats Land, Antarctica, has been sampled in order to obtain a record of Cd, Cu and Zn covering the period 1923-1986. The snowpit record gives an indication of southern hemisphere (SH) pollution reaching Antarctica. For Zn, concentrations (averaging 1.5 ng kg(-1)) can be explained as arising from natural crustal dust (based on Zn/Al ratios). No increase is observed over the period of the record here, despite a large increase in emissions from smelting operations. The main emitters are near the equator, and this may explain the lack of response in the Antarctic record. For Cd, concentrations (averaging 0.1 ng kg(-1)) cannot easily be explained in terms of natural emissions, unless the volcanic input is dominant. No significant increase is seen in the snow for this metal also. For Cu, the natural input can explain only a small part of the concentration (averaging 3.5 ng kg(-1)) measured, and increased concentrations (factor 2) are seen in the 1970s and 1980s compared to earlier decades. This is consistent with increased emissions from Cu smelting activities, particularly in Chile, where emissions are relatively far south compared to the main part of SH landmasses. Cu thus joins Pb as a metal whose natural cycle has been significantly perturbed even in the Antarctic atmosphere. (C) 1999 Elsevier Science Ltd. All rights reserved.</t>
  </si>
  <si>
    <t>Wolff, EW (corresponding author), British Antarctic Survey, NERC, Madingley Rd,High Cross, Cambridge CB3 0ET, England.</t>
  </si>
  <si>
    <t>e.wolff@bas.ac.uk</t>
  </si>
  <si>
    <t>Wolff, Eric W/D-7925-2014</t>
  </si>
  <si>
    <t>Wolff, Eric W/0000-0002-5914-8531</t>
  </si>
  <si>
    <t>1352-2310</t>
  </si>
  <si>
    <t>ATMOS ENVIRON</t>
  </si>
  <si>
    <t>Atmos. Environ.</t>
  </si>
  <si>
    <t>10.1016/S1352-2310(98)00276-3</t>
  </si>
  <si>
    <t>173LC</t>
  </si>
  <si>
    <t>WOS:000078981200005</t>
  </si>
  <si>
    <t>Bychek, EA; Gushchina, IA</t>
  </si>
  <si>
    <t>Age-dependent changes of lipid composition in Daphnia magna</t>
  </si>
  <si>
    <t>BIOCHEMISTRY-MOSCOW</t>
  </si>
  <si>
    <t>Daphnia; neutral lipids; phospholipids; fatty acids; stages of development; resistance</t>
  </si>
  <si>
    <t>ENERGY RESERVES; CALANUS-PROPINQUUS; ANTARCTIC COPEPODS; CALANOIDES-ACUTUS; CLADOCERA; STARVATION; STORAGE; SIZE</t>
  </si>
  <si>
    <t>Total lipids, phospholipids, neutral lipids, and fatty acids were studied in three developmental stages of Daphnia magna Straus. Higher amounts of free sterols and all major phospholipids (phosphatidylcholine, phosphatidylethanolamine, and sphingomyelin) were detected in neonates. The content of triacylglycerol stores of juveniles decreased during somatic growth. Detectable amounts of wax esters were found only in adults. The fatty acid unsaturation index was lower in female neonates. The relationship between the lipid contents and the age-related resistance of Daphnia to the environmental factors is discussed.</t>
  </si>
  <si>
    <t>Russian Acad Sci, Inst Ecol &amp; Volga Basin, Togliatti 445003, Russia</t>
  </si>
  <si>
    <t>Samara Federal Research Scientific Center; Russian Academy of Sciences</t>
  </si>
  <si>
    <t>Bychek, EA (corresponding author), Russian Acad Sci, Inst Ecol &amp; Volga Basin, Ul Komzina 10, Togliatti 445003, Russia.</t>
  </si>
  <si>
    <t>РАН, СамНЦ/AAO-2584-2020</t>
  </si>
  <si>
    <t>PLENUM PUBL CORP</t>
  </si>
  <si>
    <t>CONSULTANTS BUREAU, 233 SPRING ST, NEW YORK, NY 10013 USA</t>
  </si>
  <si>
    <t>0006-2979</t>
  </si>
  <si>
    <t>BIOCHEMISTRY-MOSCOW+</t>
  </si>
  <si>
    <t>Biochem.-Moscow</t>
  </si>
  <si>
    <t>203UW</t>
  </si>
  <si>
    <t>WOS:000080727000008</t>
  </si>
  <si>
    <t>Smith, RC; Ainley, D; Baker, K; Domack, E; Emslie, S; Fraser, B; Kennett, J; Leventer, A; Mosley-Thompson, E; Stammerjohn, S; Vernet, M</t>
  </si>
  <si>
    <t>Marine ecosystem sensitivity to climate change</t>
  </si>
  <si>
    <t>BIOSCIENCE</t>
  </si>
  <si>
    <t>SURFACE AIR-TEMPERATURE; ADELIE PENGUIN ROOKERY; ANTARCTIC SEA-ICE; ROSS SEA; PENINSULA; RECORD; SHELF; VARIABILITY; KRILL; BAY</t>
  </si>
  <si>
    <t>Univ Calif Santa Barbara, ICESS, Santa Barbara, CA 93106 USA; Univ Calif Santa Barbara, Dept Geog, Santa Barbara, CA 93106 USA; Univ Calif Santa Barbara, Dept Geol Sci, Santa Barbara, CA 93106 USA; HT Harvey &amp; Associates, Alviso, CA 95002 USA; Univ Calif San Diego, Scripps Inst Oceanog, La Jolla, CA 92093 USA; Hamilton Coll, Dept Geol, Clinton, NY 13323 USA; Univ N Carolina, Dept Biol Sci, Wilmington, NC 28403 USA; Montana State Univ, Dept Biol, Polar Oceans Res Grp, Bozeman, MT 59717 USA; Colgate Univ, Dept Geol, Hamilton, NY 13346 USA; Ohio State Univ, Byrd Polar Res Ctr, Dept Geog, Columbus, OH 43210 USA</t>
  </si>
  <si>
    <t>University of California System; University of California Santa Barbara; University of California System; University of California Santa Barbara; University of California System; University of California Santa Barbara; University of California System; University of California San Diego; Scripps Institution of Oceanography; Hamilton College; University of North Carolina; University of North Carolina Wilmington; Montana State University System; Montana State University Bozeman; Colgate University; University System of Ohio; Ohio State University</t>
  </si>
  <si>
    <t>Univ Calif Santa Barbara, ICESS, Santa Barbara, CA 93106 USA.</t>
  </si>
  <si>
    <t>ray@icess.ucsb.edu; dainley@harveyecology.com; kbaker@ucsd.edu; edomack@hamilton.edu; emslies@uncwil.edu; ubiwf@montana.edu; kennett@magic.geol.ucsb.edu; aleventer@mail.colgate.edu; thompson.4@osu.edu; sharon@icess.ucsb.edu; mvernet@ucsd.edu</t>
  </si>
  <si>
    <t>Mosley-Thompson, Ellen S/Z-2100-2018</t>
  </si>
  <si>
    <t>Leventer, Amy/0000-0001-9401-0987; STAMMERJOHN, SHARON/0000-0002-1697-8244</t>
  </si>
  <si>
    <t>0006-3568</t>
  </si>
  <si>
    <t>1525-3244</t>
  </si>
  <si>
    <t>Bioscience</t>
  </si>
  <si>
    <t>10.2307/1313632</t>
  </si>
  <si>
    <t>187ZR</t>
  </si>
  <si>
    <t>WOS:000079819500008</t>
  </si>
  <si>
    <t>Handorf, D; Foken, T; Kottmeier, C</t>
  </si>
  <si>
    <t>The stable atmospheric boundary layer over an Antarctic ice sheet</t>
  </si>
  <si>
    <t>stable boundary layer; boundary-layer height; universal functions; similarity theory</t>
  </si>
  <si>
    <t>PROFILE RELATIONSHIPS; TURBULENCE STRUCTURE; SURFACE-LAYER; STABILITY; MODEL</t>
  </si>
  <si>
    <t>Turbulence measurements up to 11-m height and longterm profile measurements up to 45-m height performed at the German Neumayer Station in Antarctica are used to investigate different components of turbulence closure schemes of the stable boundary layer. The results confirm the linear relationships for the universal functions of momentum and heat exchange in the stability range z/L &lt; 0.8 ... 1, whereas the local scaling approach should be used above the surface layer. Furthermore, boundary-layer heights below 50 m are frequently observed at this coastal Antarctic site, mainly due to the influence of stability above the boundary layer. It is shown that the inclusion of this stability into parametrization relations is necessary to provide realistic equilibrium heights of the stable boundary layer. Two relations, based on different physical approaches, were successfully applied for the parametrization of the equilibrium height.</t>
  </si>
  <si>
    <t>Alfred Wegener Inst Polar &amp; Marine Res, Dept Res, D-14473 Potsdam, Germany; Univ Bayreuth, Dept Micrometeorol, D-95440 Bayreuth, Germany; Univ Karlsruhe, Inst Meteorol &amp; Climate Res, D-76128 Karlsruhe, Germany</t>
  </si>
  <si>
    <t>Helmholtz Association; Alfred Wegener Institute, Helmholtz Centre for Polar &amp; Marine Research; University of Bayreuth; Helmholtz Association; Karlsruhe Institute of Technology</t>
  </si>
  <si>
    <t>Alfred Wegener Inst Polar &amp; Marine Res, Dept Res, Telegrafenberg A43, D-14473 Potsdam, Germany.</t>
  </si>
  <si>
    <t>Foken, Thomas/HGF-2971-2022; Kottmeier, Christoph/A-9553-2013; Foken, Thomas/AAW-2999-2020; Handorf, Dorthe/T-1789-2017</t>
  </si>
  <si>
    <t>Foken, Thomas/0000-0003-4562-9083; Kottmeier, Christoph/0000-0002-2196-2052; Foken, Thomas/0000-0003-4562-9083; Handorf, Dorthe/0000-0002-3305-6882</t>
  </si>
  <si>
    <t>10.1023/A:1001889423449</t>
  </si>
  <si>
    <t>213KD</t>
  </si>
  <si>
    <t>WOS:000081270900002</t>
  </si>
  <si>
    <t>West, JL; Bailey, JR; Almeida-Val, VMF; Val, AL; Sidell, BD; Driedzic, WR</t>
  </si>
  <si>
    <t>Activity levels of enzymes of energy metabolism in heart and red muscle are higher in north-temperate-zone than in Amazonian teleosts</t>
  </si>
  <si>
    <t>EEL ANGUILLA-ROSTRATA; ACCLIMATION; PERFORMANCE; PATTERNS; FISHES</t>
  </si>
  <si>
    <t>Fish living in the Amazon basin typically have body temperatures of about 30 degrees C, whereas freshwater fishes of the north-temperate zone are eurythermal, with typical body temperatures of 10-20 degrees C in summer. Enzyme activity levels in heart and red muscle of Amazonian species, which display various physiological mechanisms for dealing with hypoxic conditions, were compared with those in north-temperate-zone species. Five Amazonian species (acara-acu (Astronotus ocellatus), acari-bodo (Lipossarcus pardalis), tambaqui (Colossoma macropomum), tamoata (Hoplosternum littorale), and pirarucu (Arapaima gigas)) and four north-temperate-zone species (American eel, bullhead, yellow perch, and rainbow trout) were studied. The Amazonian species included obligate and facultative air breathers. Activities of key indicator enzymes associated with carbohydrate metabolism, fatty acid metabolism, the citric acid cycle, and the electron-transport chain were determined. There was no obvious correlation between cardiac enzyme activity levels and the potential ability of fish to maintain blood oxygen levels in hypoxic water or the capacity of isolated heart preparations to survive anoxia. In heart, activity levels of hexokinase, phosphofructokinase, pyruvate kinase, lactate dehydrogenase, citrate synthase, cytochrome oxidase, and beta-hydroxyacyl CoA dehydrogenase were about twice as high in north-temperate-zone species than in Amazonian species. Activities of red-muscle enzymes, especially those associated with aerobic fatty acid metabolism, were significantly higher in comparable north-temperate-zone species relative to Amazonian species. Increased enzyme activity levels in north-temperate-zone species relative to Amazonian species is considered to be an adaptation to generally lower body temperatures. This finding is consistent with earlier comparisions of Antarctic and north-temperate-zone species and with the results of studies of cold acclimation within north-temperate-zone fishes.</t>
  </si>
  <si>
    <t>Mt Allison Univ, Dept Biol, Sackville, NB E4L 1G7, Canada; Natl Inst Amazon Res, Lab Ecophysiol &amp; Mol Evolut, BR-69083000 Manaus, Amazonas, Brazil; Univ Maine, Sch Marine Sci, Orono, ME 04469 USA</t>
  </si>
  <si>
    <t>Mount Allison University; Institute Nacional de Pesquisas da Amazonia; University of Maine System; University of Maine Orono</t>
  </si>
  <si>
    <t>Driedzic, WR (corresponding author), Mem Univ Newfoundland, Ctr Ocean Sci, St Johns, NF A1C 5S7, Canada.</t>
  </si>
  <si>
    <t>Val, Adalberto/I-3377-2014; Driedzic, William/ABD-3284-2021; Val, Adalberto/AAE-3983-2020; de Almeida e Val, Vera Maria Fonseca/J-5818-2014</t>
  </si>
  <si>
    <t>Val, Adalberto/0000-0002-3823-3868; Val, Adalberto/0000-0002-3823-3868; de Almeida e Val, Vera Maria Fonseca/0000-0001-7038-5266</t>
  </si>
  <si>
    <t>10.1139/cjz-77-5-690</t>
  </si>
  <si>
    <t>250XL</t>
  </si>
  <si>
    <t>WOS:000083415500003</t>
  </si>
  <si>
    <t>Yang, SF; Xiao, FH; Du, AM</t>
  </si>
  <si>
    <t>Analyses of geomagnetic pulsations in Antarctic region during magnetic storm on March 24, 1991</t>
  </si>
  <si>
    <t>geomagnetic pulsation; magnetic storm; Antarctica</t>
  </si>
  <si>
    <t>ULF WAVES</t>
  </si>
  <si>
    <t>Geomagnetic pulsations at Great Wall Station and Zhongshan Station of Antarctica during magnetic storm on March 24, 1991 are analysed. In this paper the beginning time and characteristics of various pulsations are given and comparison analysis are made for two stations. All of them are helpful for understanding different behaviour of various pulsations at dayside and nightside or at high-latitude and mid-latitude and for realizing the relationship between pulsation morphology and storm process during a magnetic storm in Antarctica.</t>
  </si>
  <si>
    <t>Chinese Acad Sci, Inst Geophys, Beijing 100101, Peoples R China</t>
  </si>
  <si>
    <t>Chinese Academy of Sciences</t>
  </si>
  <si>
    <t>Yang, SF (corresponding author), Chinese Acad Sci, Inst Geophys, Beijing 100101, Peoples R China.</t>
  </si>
  <si>
    <t>247MC</t>
  </si>
  <si>
    <t>WOS:000083223700004</t>
  </si>
  <si>
    <t>Marchal, O; Stocker, TF; Joos, F; Indermühle, A; Blunier, T; Tschumi, J</t>
  </si>
  <si>
    <t>Modelling the concentration of atmospheric CO2 during the Younger Dryas climate event</t>
  </si>
  <si>
    <t>LAST-GLACIAL-MAXIMUM; ATLANTIC DEEP-WATER; GREENLAND ICE CORE; SEA-LEVEL RECORD; NORTH-ATLANTIC; OCEAN CIRCULATION; ANTARCTIC ICE; THERMOHALINE CIRCULATION; RADIOCARBON CALIBRATION; GEOMAGNETIC INTENSITY</t>
  </si>
  <si>
    <t>The Younger Dryas (YD, dated between 12.7-11.6 ky BP in the GRIP ice core, Central Greenland) is a distinct cold period in the North Atlantic region during the last deglaciation. A popular, but controversial hypothesis to explain the cooling is a reduction of the Atlantic thermohaline circulation (THC) and associated northward heat flux as triggered by glacial meltwater. Recently, a CH4-based synchronization of GRIP delta(18)O and Byrd CO2 records (West Antarctica) indicated that the concentration of atmospheric CO2 (CO2atm) rose steadily during the YD, suggesting a minor influence of the THC on CO2atm at that time. Here we show that the CO2atm change in a zonally averaged, circulation-biogeochemistry ocean model when THC is collapsed by freshwater flux anomaly is consistent with the Byrd record. Cooling in the North Atlantic has a small effect on CO2atm in this model, because it is spatially limited and compensated by far-field changes such as a warming in the Southern Ocean. The modelled Southern Ocean warming is in agreement with the anti-phase evolution of isotopic temperature records from GRIP (Northern Hemisphere) and from Byrd and Vostok (East Antarctica) during the YD. delta(13)C depletion and PO4 enrichment are predicted at depth in the North Atlantic, but not in the Southern Ocean. This could explain a part of the controversy about the intensity of the THC during the YD. Potential weaknesses in our interpretation of the Byrd CO2 record in terms of THC changes are discussed.</t>
  </si>
  <si>
    <t>Univ Bern, Inst Phys, CH-3012 Bern, Switzerland</t>
  </si>
  <si>
    <t>University of Bern</t>
  </si>
  <si>
    <t>Marchal, O (corresponding author), Univ Bern, Inst Phys, Sidlerstr 5, CH-3012 Bern, Switzerland.</t>
  </si>
  <si>
    <t>Stocker, Thomas F/B-1273-2013; Joos, Fortunat/B-4118-2018; Blunier, Thomas/M-4609-2014</t>
  </si>
  <si>
    <t>Joos, Fortunat/0000-0002-9483-6030; Blunier, Thomas/0000-0002-6065-7747</t>
  </si>
  <si>
    <t>10.1007/s003820050286</t>
  </si>
  <si>
    <t>196KP</t>
  </si>
  <si>
    <t>WOS:000080307800003</t>
  </si>
  <si>
    <t>Craneguy, P; Park, YH</t>
  </si>
  <si>
    <t>Topographic control of the Antarctic Circumpolar Current in the south Indian Ocean</t>
  </si>
  <si>
    <t>topographic control; antarctic circumpolar current; Crozet; inertial jet; model</t>
  </si>
  <si>
    <t>CIRCULATION</t>
  </si>
  <si>
    <t>The influence of bottom topography on the separation of the Antarctic Circumpolar Current (ACC) in the Crozet Plateau region has been studied using an inertial jet model. A series of simulations with realistic velocity profiles of the current clearly shows that the northward separation of the subantarctic branch of the ACC is controlled by the regional bathymetry, in particular by the South-West Indian Ridge. A bottom velocity of 2 to 4 cm.s(-1) has been found to be necessary to reproduce this separation ((C) Academie des sciences/Elsevier, Paris.).</t>
  </si>
  <si>
    <t>Museum Natl Hist Nat, Lab Oceanog Phys, F-75005 Paris, France</t>
  </si>
  <si>
    <t>Museum National d'Histoire Naturelle (MNHN)</t>
  </si>
  <si>
    <t>Craneguy, P (corresponding author), Museum Natl Hist Nat, Lab Oceanog Phys, 43 Rue Cuvier, F-75005 Paris, France.</t>
  </si>
  <si>
    <t>10.1016/S1251-8050(99)80154-2</t>
  </si>
  <si>
    <t>200KC</t>
  </si>
  <si>
    <t>WOS:000080538000003</t>
  </si>
  <si>
    <t>Berrow, SD; Huin, N; Humpidge, R; Murray, AWA; Prince, PA</t>
  </si>
  <si>
    <t>Wing and primary growth of the Wandering Albatross</t>
  </si>
  <si>
    <t>CONDOR</t>
  </si>
  <si>
    <t>Diomedea exulans; growth rates; primaries; Wandering Albatross; wing growth</t>
  </si>
  <si>
    <t>DIOMEDEA-EXULANS; PRIMARY MOLT; LAYSAN</t>
  </si>
  <si>
    <t>We investigated the relationship between body mass and the rate and pattern of feather growth of the four outermost primaries of Wandering Albatross (Diomedea exulans) chicks. Maximum growth rates were similar (4.5 mm day(-1)) for all feathers and between sexes, although primaries of males were significantly longer than those of females. There was a distinctive pattern to primary growth with p10 grown last, reaching its asymptote just prior to fledging. Primaries growing did so at different maximum rates: thus p7 reached its asymptote at an earlier age than p8 or p9, but maximum growth rates were the same for all primaries. Maximum growth rates of p7 and p8 were significantly correlated with chick mass at the start of the period of primary growth, and chick mass also was correlated with age at fledging. The heavier the chick, the earlier it grew its primaries and the younger it fledged. Fledging periods for Wandering Albatross chicks may be constrained by the time required to grow. A full set of primaries, we suggest that the observed pattern of feather growth is a mechanism to minimize potential wear of the outer primaries prior to fledging.</t>
  </si>
  <si>
    <t>Berrow, SD (corresponding author), British Antarctic Survey, NERC, Madingley Rd, Cambridge CB3 0ET, England.</t>
  </si>
  <si>
    <t>OXFORD UNIV PRESS INC</t>
  </si>
  <si>
    <t>CARY</t>
  </si>
  <si>
    <t>JOURNALS DEPT, 2001 EVANS RD, CARY, NC 27513 USA</t>
  </si>
  <si>
    <t>1938-5129</t>
  </si>
  <si>
    <t>Condor</t>
  </si>
  <si>
    <t>10.2307/1369999</t>
  </si>
  <si>
    <t>191DD</t>
  </si>
  <si>
    <t>WOS:000080005700017</t>
  </si>
  <si>
    <t>Brandon, MA; Murphy, EJ; Whitehouse, MJ; Trathan, PN; Murray, AWA; Bone, DG; Priddle, J</t>
  </si>
  <si>
    <t>The shelf break front to the east of the sub-Antarctic island of South Georgia</t>
  </si>
  <si>
    <t>CONTINENTAL SHELF RESEARCH</t>
  </si>
  <si>
    <t>WEDDELL-SCOTIA CONFLUENCE; DRAKE PASSAGE; WATER MASSES; ATLANTIC; SEA; ZONE</t>
  </si>
  <si>
    <t>The sub-Antarctic island of South Georgia lies in polar waters to the south of the Polar Front and is influenced by the Weddell Scotia Confluence whose waters reach the island's south east coast. In January 1996 a detailed hydrographic survey to the east of the island showed that on-shelf waters were both warmer and fresher than those off-shelf. These differences were not confined to surface waters. The inherent density differences resulted in a shelf break front, the position of which was defined as the point where the 26.96 kg m(-3) isopycnal crossed 30 dbar as it rose towards the surface. The slope of the shelf break front between the on- and off-shelf waters was found to be approximately geostrophic. Although the position of the shelf break front was not linked to any particular bottom depth, its position was strongly influenced by the bottom topography in the region. Evidence is presented for upwelling in one specific region along the front. Differences between the on- and off-shelf waters are also observed in nutrient and chlorophyll a data: These data implied greater productivity on-shelf. Both physical and chemical data suggest that on- and off-shelf waters communicate at depth. This study also shows that shelf water can cross the shelf break front and remain in the vicinity of the island. (C) 1999 Elsevier Science Ltd. All rights reserved.</t>
  </si>
  <si>
    <t>Brandon, MA (corresponding author), British Antarctic Survey, NERC, High Cross,Madingley Rd, Cambridge CB3 0ET, England.</t>
  </si>
  <si>
    <t>m.brandon@bas.ac.uk</t>
  </si>
  <si>
    <t>murphy, eugene/GZL-1620-2022; Brandon, Mark A/A-5804-2010</t>
  </si>
  <si>
    <t>0278-4343</t>
  </si>
  <si>
    <t>CONT SHELF RES</t>
  </si>
  <si>
    <t>Cont. Shelf Res.</t>
  </si>
  <si>
    <t>10.1016/S0278-4343(98)00112-5</t>
  </si>
  <si>
    <t>184VG</t>
  </si>
  <si>
    <t>WOS:000079634000004</t>
  </si>
  <si>
    <t>Sokolov, SY; Efimov, VN; Mazarovicn, AO; Aver'yanov, SB; Erofeev, SA; Evgrafov, LM; Bortoluzzi, G; Gasperini, L; Ligi, M</t>
  </si>
  <si>
    <t>Sediment distribution on the west part of the African-Antarctic ridge (South Atlantic)</t>
  </si>
  <si>
    <t>Russian Acad Sci, Inst Geol, Moscow, Russia; CNR, I-40126 Bologna, Italy; Nizhnii Novgorod Polytech Inst, Nizhnii Novgorod, Russia; NN Andreev Acoust Inst, Moscow, Russia</t>
  </si>
  <si>
    <t>Russian Academy of Sciences; Geological Institute, Russian Academy of Sciences; Consiglio Nazionale delle Ricerche (CNR); Nizhny Novgorod State Technical University</t>
  </si>
  <si>
    <t>Sokolov, SY (corresponding author), Russian Acad Sci, Inst Geol, Moscow, Russia.</t>
  </si>
  <si>
    <t>Gasperini, Luca/B-8796-2017; Ligi, Marco/G-4853-2012; Sokolov, Sergey/AAC-3505-2022</t>
  </si>
  <si>
    <t>Ligi, Marco/0000-0002-5098-5907; Sokolov, Sergey/0000-0002-4822-966X; Gasperini, Luca/0000-0002-0276-0607</t>
  </si>
  <si>
    <t>306QP</t>
  </si>
  <si>
    <t>WOS:000086607800024</t>
  </si>
  <si>
    <t>Wood, J; Lugg, DJ; Hysong, SJ; Harm, DL</t>
  </si>
  <si>
    <t>Psychological changes in hundred-day remote Antarctic field groups</t>
  </si>
  <si>
    <t>ENVIRONMENTS</t>
  </si>
  <si>
    <t>Psychological adaptation to extreme environments has been examined from several perspectives. In this study, two Australian teams, each consisting of six male crew members, completed computer-administered questionnaires twice weekly during 100-day traverses around the Lambert Glacier Basin, Antarctica. Only small trends were noted when data were aggregated at the group level, which is consistent with the findings of others. Data were then analyzed using pooled time-series regression. These analyses incorporated personality characteristics, environmental factors, and interpersonal factors as predictors of Group Tensions, Personal Morale, Emotional State, Cognitive Readiness, and the Team's Work Life. Most of the psychological discomfort and problems that occurred appeared to be within the individual or between individuals. They did not affect all members of the group equally.</t>
  </si>
  <si>
    <t>Wyle Life Sci Inc, Psychol &amp; Behav Lab, Houston, TX 77058 USA; NASA, Lyndon B Johnson Space Ctr, Houston, TX 77058 USA; Australian Antarctic Div, Kingston, Tas, Australia; Australian Antarctic Div, Kingston, Tas, Australia; Rice Univ, Houston, TX 77251 USA; Lyndon B Johnson Space Ctr, Neurosci Labs, Houston, TX 77058 USA</t>
  </si>
  <si>
    <t>National Aeronautics &amp; Space Administration (NASA); NASA Johnson Space Center; Australian Antarctic Division; Australian Antarctic Division; Rice University; National Aeronautics &amp; Space Administration (NASA); NASA Johnson Space Center</t>
  </si>
  <si>
    <t>Wood, J (corresponding author), Wyle Life Sci Inc, Psychol &amp; Behav Lab, 1290 Hercules 120, Houston, TX 77058 USA.</t>
  </si>
  <si>
    <t>Hysong, Sylvia J./B-8420-2008</t>
  </si>
  <si>
    <t>Hysong, Sylvia J./0000-0002-9063-5207</t>
  </si>
  <si>
    <t>NINR NIH HHS [NRA 93-OLMSA-07] Funding Source: Medline</t>
  </si>
  <si>
    <t>NINR NIH HHS(United States Department of Health &amp; Human ServicesNational Institutes of Health (NIH) - USANIH National Institute of Nursing Research (NINR))</t>
  </si>
  <si>
    <t>10.1177/0013916599313001</t>
  </si>
  <si>
    <t>194TC</t>
  </si>
  <si>
    <t>WOS:000080208800001</t>
  </si>
  <si>
    <t>Andreoli, C; Moro, I; la Rocca, N; Rigoni, F; Dalla Valle, L; Bargelloni, L</t>
  </si>
  <si>
    <t>Pseudopleurochloris antarctica gen. et sp nov., a new coccoid xanthophycean from pack-ice of Wood Bay (Ross Sea, Antarctica):: ultrastructure, pigments and 18S rRNA gene sequence</t>
  </si>
  <si>
    <t>Pseudopleurochloris antarctica gen. et sp nov.; Ross Sea; Wood Bay; Xanthophyceae</t>
  </si>
  <si>
    <t>PERFORMANCE LIQUID-CHROMATOGRAPHY; MARINE-PHYTOPLANKTON; EUSTIGMATOPHYCEAE; ALGAE; PHYLOGENY; CHLOROPHYLLS</t>
  </si>
  <si>
    <t>A microalga was isolated from the pack-ice of Wood Bay (Antarctica) during austral summer 1993-4. By comparison with an authentic strain obtained from Sammlung von Algenkulturen at the University of Gottingen (SAG 860-3), its ultrastructural details and pigment composition were very similar to those of Pleurochloris meiringensis. However, sequence analysis of the entire 18S rRNA gene revealed substantial genetic divergence (57 nucleotide substitutions and 19 insertions/deletions) between SAG 860-3 and the Antarctic isolate. Phylogenetic analysis of complete 18S rRNA gene sequences from IS microalgal species, including the two strains studied, rejected the hypothesis that the Antarctic isolate is the sister species to Pleurochloris meiringensis. Molecular evidence indicates that the Antarctic isolate is the sister group of a clade that comprises two other representatives of the Xanthophyceae (synonym Tribophyceae): Pleurochloris meiringensis and Botrydiopsis intercedens. This leads us to conclude that this microalga is a new species belonging to a new genus and the name Pseudopleurochloris antarctica is proposed.</t>
  </si>
  <si>
    <t>Univ Padua, Dept Biol, I-35131 Padua, Italy</t>
  </si>
  <si>
    <t>University of Padua</t>
  </si>
  <si>
    <t>Andreoli, C (corresponding author), Univ Padua, Dept Biol, Via Ugo Bassi 58-B, I-35131 Padua, Italy.</t>
  </si>
  <si>
    <t>Dalla Valle, Luisa/G-6721-2011; La Rocca, Nicoletta/AAA-2241-2021</t>
  </si>
  <si>
    <t>Dalla Valle, Luisa/0000-0001-8097-6369; La Rocca, Nicoletta/0000-0003-4866-5952</t>
  </si>
  <si>
    <t>10.1080/09670269910001736202</t>
  </si>
  <si>
    <t>210BT</t>
  </si>
  <si>
    <t>WOS:000081085800006</t>
  </si>
  <si>
    <t>Annual plankton dynamics in an Antarctic saline lake</t>
  </si>
  <si>
    <t>Antarctica; Ace lake; meromictic; bacterioplankton; phytoplankton</t>
  </si>
  <si>
    <t>MESODINIUM-RUBRUM CILIOPHORA; HILLS EASTERN ANTARCTICA; ICE-COVERED LAKE; ACE LAKE; VESTFOLD HILLS; PHYTOPLANKTON DYNAMICS; MICROBIAL PLANKTON; SP-NOV; BACTERIA; BACTERIOPLANKTON</t>
  </si>
  <si>
    <t>1. The plankton dynamics of Ace Lake, a saline, meromictic basin in the Vestfold Hills, eastern Antarctica was studied between December 1995 and February 1997. 2. The lake supported two distinct plankton communities; an aerobic microbial community in the upper oxygenated mixolimnion and an anaerobic microbial community in the lower anoxic monimolimnion. 3. Phytoplankton development was limited by nitrogen availability. Soluble reactive phosphorus was never limiting. Chlorophyll a concentrations in the mixolimnion ranged between 0.3 and 4.4 mu g L-1 during the study period and a deep chlorophyll maximum persisted throughout the year below the chemo/oxycline. 4. Bacterioplankton abundance showed considerable seasonal variation related to light and substrate availability. Autotrophic bacterial abundance ranged between 0.02 and 8.94 x 10(8) L-1 and heterotrophic bacterial abundance between 1.26 and 72.8 x 10(8) L-1 throughout the water column. 5. The mixolimnion phytoplankton was dominated by phytoflagellates, in particular Pyramimonas gelidicola. P. gelidicola remained active for most of the year by virtue of its mixotrophic behaviour. Photosynthetic dinoflagellates occurred during the austral summer, but the entire population encysted for the winter. 6. Two communities of heterotrophic flagellates were apparent; a community living in the upper monimolimnion and a community living in the aerobic mixolimnion. Both exhibited different seasonal dynamics. 7. The ciliate community was dominated by the autotroph Mesodinium rubrum. The abundance of M. rubrum peaked in summer. A proportion of the population encysted during winter. Only one other ciliate, Euplotes sp., occurred regularly. 8. Two species of Metazoa occurred in the mixolimnion; a calanoid copepod (Paralabidocera antarctica) and a rotifer (Notholca sp.). However, there was no evidence of grazing pressure on the microbial community. In common with most other Antarctic lakes, Ace Lake appears to be driven by 'bottom-up' forces.</t>
  </si>
  <si>
    <t>Univ Nottingham, Sch Biol Sci, Div Environm Sci, Loughborough LE12 5RD, Leics, England; British Antarctic Survey, Cambridge CB3 0ET, England; Univ Nottingham, Sch Biol Sci, Div Environm Sci, Loughborough LE12 5RD, Leics, England</t>
  </si>
  <si>
    <t>University of Nottingham; UK Research &amp; Innovation (UKRI); Natural Environment Research Council (NERC); NERC British Antarctic Survey; University of Nottingham</t>
  </si>
  <si>
    <t>Bell, EM (corresponding author), Univ Nottingham, Sch Biol Sci, Div Environm Sci, Loughborough LE12 5RD, Leics, England.</t>
  </si>
  <si>
    <t>J.Laybourn-Parry@nottingham.ac.uk</t>
  </si>
  <si>
    <t>10.1046/j.1365-2427.1999.00396.x</t>
  </si>
  <si>
    <t>215BL</t>
  </si>
  <si>
    <t>WOS:000081362000003</t>
  </si>
  <si>
    <t>Uvarov, VM; Lukyanova, RY</t>
  </si>
  <si>
    <t>Global distribution of electric potentials in extremely quiet geomagnetic conditions. A numerical model</t>
  </si>
  <si>
    <t>FIELD-ALIGNED CURRENTS; INTERPLANETARY MAGNETIC-FIELD; MIDNIGHT AURORAL OVAL; CONVECTION; CONDUCTIVITY; MAGNETOSPHERE; IONOSPHERE; PATTERN</t>
  </si>
  <si>
    <t>Uvarov, VM (corresponding author), Arctic &amp; Antarctic Res Inst, St Petersburg 199226, Russia.</t>
  </si>
  <si>
    <t>Uvarov, Viacheslav/AAI-9003-2021; Lukianova, Renata/K-3293-2012</t>
  </si>
  <si>
    <t>Lukianova, Renata/0000-0003-2343-9174</t>
  </si>
  <si>
    <t>MAY-JUN</t>
  </si>
  <si>
    <t>224BA</t>
  </si>
  <si>
    <t>WOS:000081875000008</t>
  </si>
  <si>
    <t>Sokolov, SN</t>
  </si>
  <si>
    <t>Occurrence of sporadic D region winter anomalies and geomagnetic activity.: 1.: Data bank.: Analysis of observations from Ottawa, Pennsylvania, Sardinia, Wallops Island, and kivino</t>
  </si>
  <si>
    <t>ENERGETIC ELECTRON-PRECIPITATION; MIDDLE ATMOSPHERE; LOWER IONOSPHERE; STORM</t>
  </si>
  <si>
    <t>Sokolov, SN (corresponding author), Arctic &amp; Antarctic Res Inst, St Petersburg 199226, Russia.</t>
  </si>
  <si>
    <t>WOS:000081875000012</t>
  </si>
  <si>
    <t>Effect of ground-level increases of cosmic rays on characteristics of the atmosphere in Antarctica</t>
  </si>
  <si>
    <t>SOLAR PROTON EVENTS; TEMPERATURE; PROFILE</t>
  </si>
  <si>
    <t>WOS:000081875000015</t>
  </si>
  <si>
    <t>Manning, MR</t>
  </si>
  <si>
    <t>Characteristic modes of isotopic variations in atmospheric chemistry</t>
  </si>
  <si>
    <t>LOWER ANTARCTIC STRATOSPHERE; LARGE (CO)-C-13 DEFICIT; CARBON-MONOXIDE BUDGET; OZONE HOLE CHEMISTRY; SOUTHERN-HEMISPHERE; GROWTH-RATE; METHANE</t>
  </si>
  <si>
    <t>Interacting chemical systems can be analyzed using the structures and lifetimes of characteristic modes of variation about a quasi-steady state. For the atmospheric CH4-CC-OH system, characteristic modes of concentration variation involve predominantly a single species, but their lifetimes differ from the dominant species turnover times. Here a species turnover time is the species amount divided by its removal rate, whereas the characteristic mode lifetime is the amplitude of a perturbation pattern divided by its rate of change and includes feedback effects. Characteristic mode analysis is used here to consider variations in both concentrations and isotopic ratios for such systems. New 'isotopic modes' are identified which are only weakly affected by feedbacks and have lifetimes very close to species turnover times. This raises the possibility that analysis of variations in both concentration and isotopic ratios may provide a unique tool for resolving turnover times and chemical feedbacks in atmospheric chemistry.</t>
  </si>
  <si>
    <t>Manning, MR (corresponding author), Natl Inst Water &amp; Atmospher Res, POB 14-901, Wellington, New Zealand.</t>
  </si>
  <si>
    <t>MAY 1</t>
  </si>
  <si>
    <t>10.1029/1999GL900217</t>
  </si>
  <si>
    <t>193EL</t>
  </si>
  <si>
    <t>WOS:000080122900020</t>
  </si>
  <si>
    <t>Voytek, MA; Priscu, JC; Ward, BB</t>
  </si>
  <si>
    <t>The distribution and relative abundance of ammonia-oxidizing bacteria in lakes of the McMurdo Dry Valley, Antarctica</t>
  </si>
  <si>
    <t>HYDROBIOLOGIA</t>
  </si>
  <si>
    <t>Special Session on the Application of Molecular Techniques to Aquatic Communities, at the American-Society-for-Limnology-and-Oceanography-Aquatic-Sciences Meeting</t>
  </si>
  <si>
    <t>SANTA FE, NM</t>
  </si>
  <si>
    <t>nitrification; ammonia-oxidizing bacteria; amoA; Antarctic lakes; family and species specific PCR detection of nitrfying bacteria</t>
  </si>
  <si>
    <t>NITROUS-OXIDE; FRESH-WATER; NITRIFYING BACTERIA; MARINE; N2O; VANDA; IMMUNOFLUORESCENCE; AMPLIFICATION; MONOOXYGENASE; NITRIFICATION</t>
  </si>
  <si>
    <t>Marked differences in the concentrations of major ions and cations, macronutrient chemistry and general trophic status exist among the lakes of the McMurdo dry valleys in Antarctica. These differences have been attributed to both variations in stream inputs and in situ lake processes (Priscu, 1995; Lizotte et al., 1996, Spigel and Priscu, 1996). This study examines the role of nitrifying bacteria in nitrogen transformations in these lakes. Applying two polymerase chain reaction (PCR) assays targeting the 16S rRNA genes of ammonia-oxidizing bacteria and the active site of the ammonia monooxygenase gene (amoA), the distribution of ammonia-oxidizers was examined in six Antarctic lakes: Lake Bonney, Lake Hoare, Lake Fryxell and Lake Joyce in the Taylor Valley, Lake Miers in the the Miers Valley and Lake Vanda in the Wright Valley. Using a two stage amplification procedure, ammonia-oxidizers from both the beta and gamma- subclasses of the Proteobacteria were detected and their relative abundances were determined in samples collected from all sites. Ammonia-oxidizers were detected in all lakes sampled. Members of the gamma subclass were only present in the saline lakes. In general, nitrifiers were most abundant at depths above the pycnocline and were usually associated with lower concentrations of NH4 and elevated concentrations of NO3 or NO2. The distribution of nitrifiers suggests that the primary N2O peak observed in most of the lakes was produced via nitrification. Preliminary data on the rate of nitrification (Priscu et al., 1996) support the occurrence of nitrification and the presence of nitrifiers at the depth intervals where nitrifiers were detected. In all lakes, except Lake Miers, the data indicate that nitrifying bacteria have an important role in the vertical distribution of nitrogen compounds in these systems.</t>
  </si>
  <si>
    <t>US Geol Survey, Div Water Resources, Reston, VA 20192 USA; Montana State Univ, Bozeman, MT 59717 USA; Princeton Univ, Dept Geosci, Princeton, NJ 08540 USA</t>
  </si>
  <si>
    <t>United States Department of the Interior; United States Geological Survey; Montana State University System; Montana State University Bozeman; Princeton University</t>
  </si>
  <si>
    <t>US Geol Survey, Div Water Resources, Reston, VA 20192 USA.</t>
  </si>
  <si>
    <t>mavoytek@usgs.gov</t>
  </si>
  <si>
    <t>0018-8158</t>
  </si>
  <si>
    <t>1573-5117</t>
  </si>
  <si>
    <t>Hydrobiologia</t>
  </si>
  <si>
    <t>10.1023/A:1003754830988</t>
  </si>
  <si>
    <t>248LR</t>
  </si>
  <si>
    <t>WOS:000083276500010</t>
  </si>
  <si>
    <t>Choi, EM</t>
  </si>
  <si>
    <t>The Radarsat Antarctic Mapping Mission</t>
  </si>
  <si>
    <t>IEEE AEROSPACE AND ELECTRONIC SYSTEMS MAGAZINE</t>
  </si>
  <si>
    <t>SED Syst Inc, Canadian Space Agcy, Radarsat Mission Control Ctr, St Hubert, PQ J3Y 8Y9, Canada</t>
  </si>
  <si>
    <t>Canadian Space Agency</t>
  </si>
  <si>
    <t>Choi, EM (corresponding author), SED Syst Inc, Canadian Space Agcy, Radarsat Mission Control Ctr, 6767 Route Aeroport, St Hubert, PQ J3Y 8Y9, Canada.</t>
  </si>
  <si>
    <t>IEEE-INST ELECTRICAL ELECTRONICS ENGINEERS INC</t>
  </si>
  <si>
    <t>345 E 47TH ST, NEW YORK, NY 10017-2394 USA</t>
  </si>
  <si>
    <t>0885-8985</t>
  </si>
  <si>
    <t>IEEE AERO EL SYS MAG</t>
  </si>
  <si>
    <t>IEEE Aerosp. Electron. Syst. Mag.</t>
  </si>
  <si>
    <t>10.1109/62.765771</t>
  </si>
  <si>
    <t>Engineering, Aerospace; Engineering, Electrical &amp; Electronic</t>
  </si>
  <si>
    <t>Engineering</t>
  </si>
  <si>
    <t>195WR</t>
  </si>
  <si>
    <t>WOS:000080275600003</t>
  </si>
  <si>
    <t>Zalesny, VB; Moshonkin, SN</t>
  </si>
  <si>
    <t>Equilibrium thermohaline regime of model global ocean circulation</t>
  </si>
  <si>
    <t>SURFACE TEMPERATURE ANOMALIES; WORLD OCEAN; LAYER PARAMETERIZATION; MULTIPLE EQUILIBRIA; BOUNDARY-CONDITIONS; NORTH-ATLANTIC; SENSITIVITY; VARIABILITY; WATER; OSCILLATIONS</t>
  </si>
  <si>
    <t>Climatic characteristics of the ocean are reproduced by a general circulation model and compared to the data from the Levitus' atlas (1994) over the whole water area of the global ocean. The general circulation model differs from a number of similar modem models mainly in the following: the representation of equations in a sigma-coordinate system; the possibility for using various grids:in approximating the equations in space (B, C, and A-C combinations), which allows the coefficients of turbulent viscosity and diffusion to be essentially decreased; and the application of economical implicit splitting schemes. It was shown that the following features are by fundamental importance: the exchange with properties between the Arctic arid the Mediterranean Sea; a physically more complete description of horizontal, turbulent diffusion (the inclusion of quasi-pycnicity and mixed derivatives latitude-sigma and longitude-sigma); and the use of a more complete equation of state for a more adequate reproduction df deep convection near the coast of the Antarctic continent. The analysis performed has demonstrated a quite satisfactory ability of the ocean general circulation model to reproduce the main real large-scale features of the fields of ocean characteristics. An analysis of the climatic variability of ocean characteristics hs revealed its considerable diversity and connection to different basins of the world ocean with, their peculiar dynamic and hydrologic regimes. The interdecadal variability changes dramatically from one area to another not only in intensity, but also in a set of the main energy-carrying components; The quasi biennial oscillations originate in the high-latitude areas and then propagate to the middle latitudes.</t>
  </si>
  <si>
    <t>Russian Acad Sci, Inst Numer Math, Moscow 117951, Russia</t>
  </si>
  <si>
    <t>Russian Academy of Sciences</t>
  </si>
  <si>
    <t>Zalesny, VB (corresponding author), Russian Acad Sci, Inst Numer Math, Ul Gubkina 8, Moscow 117951, Russia.</t>
  </si>
  <si>
    <t>217AE</t>
  </si>
  <si>
    <t>WOS:000081476000009</t>
  </si>
  <si>
    <t>Lavrenov, IV</t>
  </si>
  <si>
    <t>Effect of quasi-oscillations in the wind-wave spectrum on its low-frequency nonlinear evolution</t>
  </si>
  <si>
    <t>The effect of quasi-oscillations in the wind-wave spectrum on its low-frequency evolution is assessed by numerically solving the kinetic equation that takes into account weakly nonlinear interactions in the spectrum. It is shown that quasi-oscillations are responsible for a significant enhancement of the effect of weakly nonlinear wave development. A parametrization that makes it possible to Consider this effect in spectral models of wind waves is proposed.</t>
  </si>
  <si>
    <t>Lavrenov, IV (corresponding author), Arctic &amp; Antarctic Res Inst, Ul Beringa 38, St Petersburg 199397, Russia.</t>
  </si>
  <si>
    <t>WOS:000081476000010</t>
  </si>
  <si>
    <t>Margesin, R; Schinner, F</t>
  </si>
  <si>
    <t>Biological decontamination of oil spills in cold environments</t>
  </si>
  <si>
    <t>JOURNAL OF CHEMICAL TECHNOLOGY AND BIOTECHNOLOGY</t>
  </si>
  <si>
    <t>cold-adapted microorganisms; petroleum (oil) hydrocarbons; biodegradation; bioremediation; biostimulation; bioaugmentation</t>
  </si>
  <si>
    <t>EXXON-VALDEZ-OIL; PRINCE-WILLIAM-SOUND; CRUDE-OIL; DIESEL-OIL; MICROBIAL-DEGRADATION; HYDROCARBON DEGRADATION; PETROLEUM-HYDROCARBONS; ADAPTED MICROORGANISMS; ALPINE SOILS; BIOREMEDIATION</t>
  </si>
  <si>
    <t>The decontamination of oil-polluted cold environments has been recognized as an area of particular importance. The biodegradation of petroleum hydrocarbons at low temperatures has been reported in a variety of soil, water and marine systems in arctic, alpine and antarctic environments. Physical, chemical and biological factors contribute to hydrocarbon loss or alteration. Cold-adapted indigenous microorganisms are of essential importance for the biological decontamination of cold climates. Enrichments of oil-degrading microbial communities occur soon after oil contamination. Bioremediation, the acceleration of the natural biodegradation rate through the modification of environmental conditions, has been studied in cold arctic, alpine and antarctic environments. Biostimulation by the addition of inorganic nutrients results in an enhanced oil degradation by the indigenous microorganisms, whereas bioaugmentation with oil-degrading cold-adapted microorganisms was sometimes reported to be unsuccessful. The effect of temperature on oil biodegradation and ecological consequences of oil spills are discussed. By using biological decontamination, the contaminant concentration cannot be reduced to zero. (C) 1999 Society of Chemical industry.</t>
  </si>
  <si>
    <t>Univ Innsbruck, Inst Microbiol, A-6020 Innsbruck, Austria</t>
  </si>
  <si>
    <t>Univ Innsbruck, Inst Microbiol, Technikerstr 25, A-6020 Innsbruck, Austria.</t>
  </si>
  <si>
    <t>rosa.margesin@uibk.ac.at</t>
  </si>
  <si>
    <t>0268-2575</t>
  </si>
  <si>
    <t>1097-4660</t>
  </si>
  <si>
    <t>J CHEM TECHNOL BIOT</t>
  </si>
  <si>
    <t>J. Chem. Technol. Biotechnol.</t>
  </si>
  <si>
    <t>Biotechnology &amp; Applied Microbiology; Chemistry, Multidisciplinary; Engineering, Environmental; Engineering, Chemical</t>
  </si>
  <si>
    <t>Biotechnology &amp; Applied Microbiology; Chemistry; Engineering</t>
  </si>
  <si>
    <t>196CB</t>
  </si>
  <si>
    <t>WOS:000080290500001</t>
  </si>
  <si>
    <t>Simmonds, I; Bi, DH; Hope, P</t>
  </si>
  <si>
    <t>Atmospheric water vapor flux and its association with rainfall over China in summer</t>
  </si>
  <si>
    <t>NINO SOUTHERN OSCILLATION; TROPICAL WESTERN PACIFIC; NASA/DAO REANALYSES; HYDROLOGIC-CYCLE; MONSOON RAINFALL; MOISTURE BUDGET; ECMWF ANALYSES; SOIL-MOISTURE; UNITED-STATES; RIVER BASIN</t>
  </si>
  <si>
    <t>The summer moisture transport by the large-scale circulation over China has been investigated using ECMWF-WMO twice-daily analyses for the period 1980-96. The horizontal flux of atmospheric water vapor and its divergence has been calculated over two target regions, namely, southeast China (25 degrees-35 degrees N, 110 degrees-120 degrees E) and northeast China (40 degrees-50 degrees N, 120 degrees-130 degrees E). The time-averaged fluxes show the southeastern Asian and Indian monsoon circulations bringing abundant moisture from the South China Sea and the Bay of Bengal, respectively, to southeast China while the midlatitude westerlies dominate the moisture transport over northeast China. The association between the interannual variations of moisture flux and rainfall over China has been examined. The comparison of the fluxes for wet and dry years over the southeast showed there to be, for the former, much stronger moisture transport by the southeastern Asian monsoon through the: southern boundary but little change associated with transport by the Indian monsoon. Furthermore, comparison between mean and transient eddy transport budgets in wet and dry years and in the climatological mean shows that the mean component is dominant in the total transport. The moisture convergence associated with the: transient eddies assumes its largest values in the eastern part of the country and, for the most part, assumes a sign opposite to that of the moisture flux convergence associated with the time-mean circulation and moisture fields, The results of this study suggest that the transient eddies do not play a significant role in the initiation and maintenance of the abnormal climate events over the two domains used in the study. Over both of these domains the two largest terms in the climatological moisture budget are seen to be the evaporation and the precipitation, while for interannual variations the largest terms are the atmospheric moisture convergence and thr precipitation; China has the largest irrigated area in the world and much of this is in the form of flooded paddy fields. It is suggested that this large area of saturated surface may result in evapotranspiration rates that differ significantly from those implied by atlases that have used estimates obtained at 'typical locations. The extent of irrigation over China may also make the task of interpreting its moisture budget more difficult.</t>
  </si>
  <si>
    <t>Univ Melbourne, Sch Earth Sci, Parkville, Vic 3052, Australia; Univ Sci &amp; Technol China, Dept Earth &amp; Space Sci, Hefei 230026, Peoples R China; Univ Tasmania, Antarctic CRC, Hobart, Tas, Australia</t>
  </si>
  <si>
    <t>University of Melbourne; Chinese Academy of Sciences; University of Science &amp; Technology of China, CAS; University of Tasmania</t>
  </si>
  <si>
    <t>ihs@met.unimelb.edu.au</t>
  </si>
  <si>
    <t>Hope, Pandora/ISA-8917-2023; Bi, Daohua/O-4508-2015</t>
  </si>
  <si>
    <t>10.1175/1520-0442(1999)012&lt;1353:AWVFAI&gt;2.0.CO;2</t>
  </si>
  <si>
    <t>193PR</t>
  </si>
  <si>
    <t>WOS:000080145700001</t>
  </si>
  <si>
    <t>Randel, WJ; Wu, F</t>
  </si>
  <si>
    <t>Cooling of the arctic and antarctic polar stratospheres due to ozone depletion</t>
  </si>
  <si>
    <t>SOUTHERN-HEMISPHERE; INTERANNUAL VARIABILITY; MLS OBSERVATIONS; TEMPERATURE; HOLE; TRENDS; MODEL; CIRCULATION; TROPOSPHERE; VORTEX</t>
  </si>
  <si>
    <t>Long time records of stratospheric temperatures indicate that substantial tooling has occurred during spring over polar regions of both hemispheres. These cooling patterns are coincident with observed recent ozone depletions. Time series of temperature from radiosonde, satellite. and National Centers for Environmental Prediction reanalysis data are analyzed in order to isolate the space-time structure of the observed temperature changes. The Antarctic data show strong cooling (of order 6-10 K) in the lower stratosphere (similar to 12-21 km) since approximately 1985. The cooling maximizes in spring (October-December), with small but significant changes extending throughout Southern Hemisphere summer. No Antarctic temperature changes are observed during midwinter. Significant warming is found during spring at the uppermost radiosonde data level (30 mb, similar to 24 km). These observed temperature changes are all consistent with model predictions of the radiative response to Antarctic polar ozone depletion. Winter and spring temperatures in Northern Hemisphere polar regions also indicate a strong cooling in the 1990s, and the temperature changes are coherent with observed ozone losses. The overall space-time patterns are similar between both hemispheres, suggesting that the radiative response to ozone depletion is an important component of the Arctic cooling as well.</t>
  </si>
  <si>
    <t>Natl Ctr Atmospher Res, Div Atmospher Chem, Boulder, CO 80307 USA</t>
  </si>
  <si>
    <t>National Center Atmospheric Research (NCAR) - USA</t>
  </si>
  <si>
    <t>Randel, WJ (corresponding author), Natl Ctr Atmospher Res, Div Atmospher Chem, POB 3000, Boulder, CO 80307 USA.</t>
  </si>
  <si>
    <t>Randel, William J/K-3267-2016</t>
  </si>
  <si>
    <t>10.1175/1520-0442(1999)012&lt;1467:COTAAA&gt;2.0.CO;2</t>
  </si>
  <si>
    <t>WOS:000080145700008</t>
  </si>
  <si>
    <t>Baker, CF; Montgomery, JC</t>
  </si>
  <si>
    <t>The sensory basis of rheotaxis in the blind Mexican cave fish, Astyanax fasciatus</t>
  </si>
  <si>
    <t>JOURNAL OF COMPARATIVE PHYSIOLOGY A-SENSORY NEURAL AND BEHAVIORAL PHYSIOLOGY</t>
  </si>
  <si>
    <t>lateral line; rheotaxis; olfactory; cave fish</t>
  </si>
  <si>
    <t>ANTARCTIC NOTOTHENIOID FISH; ATLANTIC SALMON SMOLTS; FRESH-WATER FISH; LATERAL-LINE; SUPERFICIAL NEUROMASTS; SALAR L; TRACKING</t>
  </si>
  <si>
    <t>The sensory basis of rheotaxis (orientation to currents) was investigated in the blind Mexican cave fish, Astyanax fasciatus. An unconditioned rheotactic response to uniform velocity flows was exhibited, with a threshold of less than 3 cm s(-1). Disabling the entire lateral line or the superficial neuromast receptor class increased the rheotactic threshold to greater than 9 cm s(-1) A pharmacological block of the lateral line canal system alone had no effect. These results demonstrate that the superficial lateral line system controls rheotaxis at low current velocities. The effect of pairing an odor stimulant with the water current dropped the rheotactic threshold to less than 0.4 cm s(-1). This study provides a clear behavioral role for the superficial neuromasts where none previously existed, and also establishes a link between the mechanosensory lateral line and olfactory systems in the olfactory search behavior of the cave fish.</t>
  </si>
  <si>
    <t>Univ Auckland, Sch Biol Sci, Expt Biol Res Grp, Auckland 1, New Zealand</t>
  </si>
  <si>
    <t>University of Auckland</t>
  </si>
  <si>
    <t>Baker, CF (corresponding author), Univ Auckland, Sch Biol Sci, Expt Biol Res Grp, Private Bag 92019, Auckland 1, New Zealand.</t>
  </si>
  <si>
    <t>Montgomery, John/D-4310-2009</t>
  </si>
  <si>
    <t>Montgomery, John/0000-0002-7451-3541</t>
  </si>
  <si>
    <t>0340-7594</t>
  </si>
  <si>
    <t>J COMP PHYSIOL A</t>
  </si>
  <si>
    <t>J. Comp. Physiol. A-Sens. Neural Behav. Physiol.</t>
  </si>
  <si>
    <t>10.1007/s003590050351</t>
  </si>
  <si>
    <t>Behavioral Sciences; Neurosciences; Physiology; Zoology</t>
  </si>
  <si>
    <t>Behavioral Sciences; Neurosciences &amp; Neurology; Physiology; Zoology</t>
  </si>
  <si>
    <t>213DV</t>
  </si>
  <si>
    <t>WOS:000081257800005</t>
  </si>
  <si>
    <t>Carbary, JF; Romick, GJ; Morrison, D; Paxton, LJ; Meng, CI</t>
  </si>
  <si>
    <t>Altitudes of polar mesospheric clouds observed by a middle ultraviolet imager</t>
  </si>
  <si>
    <t>NOCTILUCENT CLOUDS; SUMMER; INSTRUMENT</t>
  </si>
  <si>
    <t>The first images of Earth limb in the middle ultraviolet (235-263 nm) have revealed in detail the altitude structures of polar mesospheric clouds (PMCs). The images were obtained from the Ultraviolet and Visible Imaging and Spectrographic Imaging (UVISI) instrument on the Midcourse Space Experiment (MSX) spacecraft during the austral summer of 1997-1998. The satellite made multiple passes over the Antarctic and obtained over 750 images of PMCs at latitudes poleward of 70 degrees S. Even without correction for scene backgrounds, the imager easily observed PMCs distinct from the atmospheric backgrounds. The clouds appeared as discrete, filamentary structures having altitudes between 80 and 85 km, although most PMCs appeared at altitudes between 82.0 and 83.0 km with a mean of 82.3 +/- 0.8 km. The clouds were randomly distributed on a trans-polar scale of similar to 1000 km, although in some instances the clouds clustered for distances of 200-300 km across the polar mesosphere. In other instances, PMCs were wholly absent on the mesospheric horizon. The imager also noted enhanced radiances on the topsides of the PMC altitude profiles; this excess radiance may be caused by subvisible particles not apparent at visible wavelengths. The PMC altitudes do not appear correlated with latitude or local time on the scale of the observations discussed here.</t>
  </si>
  <si>
    <t>Johns Hopkins Univ, Appl Phys Lab, Laurel, MD 20723 USA</t>
  </si>
  <si>
    <t>Johns Hopkins University; Johns Hopkins University Applied Physics Laboratory</t>
  </si>
  <si>
    <t>Johns Hopkins Univ, Appl Phys Lab, 11100 Johns Hopkins Rd, Laurel, MD 20723 USA.</t>
  </si>
  <si>
    <t>james.carbary@jhuapl.edu</t>
  </si>
  <si>
    <t>Carbary, James/C-2086-2016; Paxton, Larry/D-1934-2015</t>
  </si>
  <si>
    <t>Carbary, James/0000-0003-1781-3078; Paxton, Larry/0000-0002-2597-347X</t>
  </si>
  <si>
    <t>A5</t>
  </si>
  <si>
    <t>10.1029/1999JA900088</t>
  </si>
  <si>
    <t>192BQ</t>
  </si>
  <si>
    <t>WOS:000080058600037</t>
  </si>
  <si>
    <t>Troshichev, O; Kokubun, S; Kamide, Y; Nishida, A; Mukai, T; Yamamoto, T</t>
  </si>
  <si>
    <t>Convection in the distant magnetotail under extremely quiet and weakly disturbed conditions</t>
  </si>
  <si>
    <t>INTERPLANETARY MAGNETIC-FIELD; NORTHWARD IMF CONDITIONS; GEOTAIL OBSERVATIONS; PLASMA SHEET; POLAR-CAP; GEOMAGNETICALLY QUIET; ACTIVE TIMES; TAIL; ISEE-3; R(E)</t>
  </si>
  <si>
    <t>Measurements of the magnetic field and low-energy plasma by the Geotail spacecraft have been used to study magnetospheric convection in the distant tail at X = - (79-200) RE under extremely quiet and weakly disturbed conditions. The analysis was carried out separately for the tail lobes and the plasma sheet; these regions were identified by plasma and magnetic field parameters. It is Shown that plasmas in the northern and southern tail lobes move tailward along magnetic field lines at the same time as magnetic field lines converge towards the plasma sheet, The main processes occurring in the distant tail under extremely quiet conditions (northward interplanetary magnetic field) and weakly disturbed conditions (southward IMF) are very similar, excluding the passage of high-speed tailward plasmoids, which are obviously generated in the near-Earth plasma sheet. Magnetic turbulence, that is, fluctuations of the magnetic field occurring against the background of a totally northward field (B-Z&gt;0), consistent with intense oscillations in the plasma now V-x component, is typical of all conditions. It is concluded that the stretched and antiparallel field lines of the northern and southern tail lobes are reconnected in the plasma sheet. Tail lobe plasma constantly enters the plasma sheet, where the lobe magnetic field energy converts into the kinetic energy of the plasma producing the magnetic turbulence. It seems likely that the direction (northward or southward) of the IMF is not necessary for tail formation, and processes in the near tail (substorm activity) does not strongly influence reconnection in the distant tail.</t>
  </si>
  <si>
    <t>Arctic &amp; Antarctic Res Inst, St Petersburg 199397, Russia; Nagoya Univ, Solar Terr Environm Lab, Aichi 442, Japan; Inst Space &amp; Astronaut Sci, Kanagawa 229, Japan</t>
  </si>
  <si>
    <t>Arctic &amp; Antarctic Research Institute; Nagoya University; Japan Aerospace Exploration Agency (JAXA); Institute of Space &amp; Astronautical Science (ISAS)</t>
  </si>
  <si>
    <t>Arctic &amp; Antarctic Res Inst, St Petersburg 199397, Russia.</t>
  </si>
  <si>
    <t>olegtro@aari.nw.ru; kokubun@stel.nagoya-u.ac.jp; kamide@stel.nagoya-u.ac.jp; nishida@gtl.isas.ac.jp; mukai@fujitubo.gtl.isa.ac.jp</t>
  </si>
  <si>
    <t>Mukai, Toshifumi/ABD-3297-2021</t>
  </si>
  <si>
    <t>10.1029/1998JA900141</t>
  </si>
  <si>
    <t>WOS:000080058600050</t>
  </si>
  <si>
    <t>Meredith, MP; Heywood, KJ; Frew, RD; Dennis, PF</t>
  </si>
  <si>
    <t>Formation and circulation of the water masses between the southern Indian Ocean and Antarctica:: Results from δ18O</t>
  </si>
  <si>
    <t>JOURNAL OF MARINE RESEARCH</t>
  </si>
  <si>
    <t>OXYGEN-ISOTOPE; BOTTOM WATER; HYDROGRAPHIC SECTION; INTERMEDIATE WATER; WEDDELL GYRE; PRYDZ BAY; ICE SHELF; SEA; CHLOROFLUOROMETHANE; ATLANTIC</t>
  </si>
  <si>
    <t>We present measurements of the stable isotopes of oxygen (O-18 and O-16) from seawater samples collected during the Antarctic Deep Outflow Experiment (ADOX) cruises in the Southern Ocean and southern Indian Ocean, February to March, 1993 and 1994. The data are used in conjunction with hydrographic data to infer characteristics of the formation and circulation of water masses found in the region. The waters on the continental shelf of Antarctica (adjacent to the Princess Elizabeth Trough; PET) are isotopically the lightest found due to the injection of about 1% of glacial meltwater, and are probably advected to the region from farther east by the current associated with the Antarctic Slope Front. They appear to be locally disassociated from the Antarctic Surface Water and Winter Water (WW) farther north in the PET. The WW of the Enderby Basin is isotopically lighter than the PET WW and also fresher, indicating the presence of an additional component of glacial meltwater or high-latitude precipitation. North of the Antarctic Circumpolar Current, the surface delta(18)O values correlate strongly with salinity, but extrapolate to an apparent freshwater endmember which is isotopically too light to be reasonable; advection and mixing of the water masses dominate over the local water balance at this location. The Subantarctic Mode Water of the southern Indian Ocean lies on the line of the surface waters in salinity-delta(18)O space due to its local formation by deep convection. The Antarctic Intermediate Water also lies on this line, but it is known that the major sources for this water mass are outside the region. Consequently this observation does not necessarily imply formation by local deep convection. The delta(18)O measurements have shown that the major sources for PET Antarctic Bottom Water (AABW) lie outside the Weddell and Ross seas. Based on the potential temperature-salinity of the PET AABW we further deduce that the PET itself is not the formation location of a significant amount of AABW. Its major component is advected to the region from the Australian-Antarctic Basin farther east.</t>
  </si>
  <si>
    <t>Meredith, MP (corresponding author), Univ E Anglia, Sch Environm Sci, Norwich NR4 7TJ, Norfolk, England.</t>
  </si>
  <si>
    <t>Frew, Russell/I-5591-2012; Frew, Russell/HDN-6138-2022; Heywood, Karen/L-1757-2016</t>
  </si>
  <si>
    <t>Frew, Russell/0000-0002-6138-2116; Meredith, Michael/0000-0002-7342-7756; Dennis, Paul/0000-0002-0307-4406; Heywood, Karen/0000-0001-9859-0026</t>
  </si>
  <si>
    <t>KLINE GEOLOGY LABORATORY</t>
  </si>
  <si>
    <t>NEW HAVEN</t>
  </si>
  <si>
    <t>YALE UNIV, NEW HAVEN, CT 06520-8109 USA</t>
  </si>
  <si>
    <t>0022-2402</t>
  </si>
  <si>
    <t>J MAR RES</t>
  </si>
  <si>
    <t>J. Mar. Res.</t>
  </si>
  <si>
    <t>10.1357/002224099764805156</t>
  </si>
  <si>
    <t>212JH</t>
  </si>
  <si>
    <t>WOS:000081213200003</t>
  </si>
  <si>
    <t>Askin, RA</t>
  </si>
  <si>
    <t>Manumiella seymourensis new species, a stratigraphically significant dinoflagellate cyst from the Maastrichtian of Seymour Island, Antarctica</t>
  </si>
  <si>
    <t>JOURNAL OF PALEONTOLOGY</t>
  </si>
  <si>
    <t>LATE CRETACEOUS STRATIGRAPHY; LOPEZ-DE-BERTODANO; COCKBURN ISLAND; PENINSULA; EOCENE; POLLEN</t>
  </si>
  <si>
    <t>The peridiniacean dinoflagellate cyst Manumiella seymourensis new species described herein characterizes Maastrichtian shallow marine sediments cropping out on Seymour Island, northeastern Antarctic Peninsula. It dominates palynological assemblages throughout the lower Maastrichtian (and possibly uppermost Campanian) to lower upper Maastrichtian part of the Lopez de Bertodano Formation. Despite its superficial similarity to some other southern mid to high paleolatitude Campanian-Maastrichtian species, M. seymourensis represents a discrete, biostratigraphically useful population of peridiniacean cysts. Its morphology and size parameters remain consistent throughout almost all of its stratigraphic range, equated with relatively stable environmental conditions throughout much of the Maastrichtian in the James Ross Basin. Morphological variations, equated with environmental change, are apparent in specimens in the lowermost and uppermost parts of its range.</t>
  </si>
  <si>
    <t>Ohio State Univ, Byrd Polar Res Ctr, Columbus, OH 43210 USA</t>
  </si>
  <si>
    <t>University System of Ohio; Ohio State University</t>
  </si>
  <si>
    <t>Askin, RA (corresponding author), Ohio State Univ, Byrd Polar Res Ctr, 1090 Carmack Rd, Columbus, OH 43210 USA.</t>
  </si>
  <si>
    <t>PALEONTOLOGICAL SOC INC</t>
  </si>
  <si>
    <t>0022-3360</t>
  </si>
  <si>
    <t>J PALEONTOL</t>
  </si>
  <si>
    <t>J. Paleontol.</t>
  </si>
  <si>
    <t>10.1017/S0022336000027888</t>
  </si>
  <si>
    <t>198VW</t>
  </si>
  <si>
    <t>WOS:000080445800001</t>
  </si>
  <si>
    <t>Mostajir, B; Demers, S; de Mora, S; Belzile, C; Chanut, JP; Gosselin, M; Roy, S; Villegas, PZ; Fauchot, J; Bouchard, J; Bird, D; Monfort, P; Levasseur, M</t>
  </si>
  <si>
    <t>Experimental test of the effect of ultraviolet-B radiation in a planktonic community</t>
  </si>
  <si>
    <t>BIOLOGICAL WEIGHTING FUNCTION; MARINE TROPHIC LEVELS; ANTARCTIC PHYTOPLANKTON; OZONE DEPLETION; UV-RADIATION; COASTAL WATERS; ORGANIC-CARBON; BACTERIA; PHOTOSYNTHESIS; GROWTH</t>
  </si>
  <si>
    <t>Ultraviolet-B (UVB, 280-320 nm) radiation is a natural component of sunlight that harms organisms and disturbs natural communities in surface waters. A natural planktonic assemblage of organisms (&lt;240 mu m) was studied in a mesocosm experiment for 7 d under varying conditions of UVB radiation: UVB excluded, natural radiation, and UVB enhanced at two different levels. The dynamics of several populations at different trophic levels comprising heterotrophic bacteria (&lt;1 mu m), heterotrophic flagellates (2-10 mu m), small phytoplankton (&lt;5 mu m), large phyto plankton (5-20 mu m), and ciliates (15-35 mu m) were monitored during the experiment. Enhanced UVB provoked a significant decrease in the number of ciliates (66%) and large phytoplankton (63%) relative to natural WE conditions. The severe effects of UVB radiation on ciliates and large phytoplankton communities shown here would strongly limit upward transfer of mass and energy. The decline of predator abundance (ciliates) under UVB stress relative to natural conditions resulted in a positive feedback between enhanced UVB radiation and prey abundances, shown by increased abundances of bacteria (49%), heterotrophic flagellates (up to 300%), and small phytoplankton (41%). Similarly, with respect to carbon partitioning, the decrease in ciliate and diatom carbon biomass (64 and 56%, respectively) under enhanced WE exposure was balanced by an increase in the carbon biomass of heterotrophic bacteria (48%), heterotrophic flagellates (126%), and autotrophic flagellates (162%). As a manifestation of enhanced UVB at the community level, the ecosystem develops toward a microbial food web in preference to an herbivorous food web. Thus, enhanced UVB radiation can change the structure and dynamics of the pelagic food web.</t>
  </si>
  <si>
    <t>Inst Natl Rech Sci Oceanol, Grp Rech Environm Cotier, Rimouski, PQ G5L 3A1, Canada; Univ Quebec, Rimouski, PQ G5L 3A1, Canada; Univ Quebec, Dept Sci Biol, Montreal, PQ H3C 3P8, Canada; Univ Montpellier 2, Lab Hydrobiol Marine &amp; Continentale, CNRS, Unite Mixte Rech Ecosyst Iagunaires,UMR 5556, F-34095 Montpellier 5, France; Minist Peches &amp; Oceans, Inst Maurice Lamontagne, Mt Joli, PQ G5H 3Z4, Canada</t>
  </si>
  <si>
    <t>University of Quebec; University of Quebec; University of Quebec; University of Quebec Montreal; Universite de Montpellier; Centre National de la Recherche Scientifique (CNRS); Fisheries &amp; Oceans Canada</t>
  </si>
  <si>
    <t>Mostajir, B (corresponding author), Inst Natl Rech Sci Oceanol, Grp Rech Environm Cotier, 310 Allee Ursulines, Rimouski, PQ G5L 3A1, Canada.</t>
  </si>
  <si>
    <t>; MONFORT, Patrick/E-8620-2010; Gosselin, Michel/B-4477-2014</t>
  </si>
  <si>
    <t>Belzile, Claude/0000-0003-3908-7433; MONFORT, Patrick/0000-0002-7868-2166; Gosselin, Michel/0000-0002-1044-0793</t>
  </si>
  <si>
    <t>10.4319/lo.1999.44.3.0586</t>
  </si>
  <si>
    <t>196UQ</t>
  </si>
  <si>
    <t>WOS:000080326300010</t>
  </si>
  <si>
    <t>Markager, S; Vincent, WF; Tang, EPY</t>
  </si>
  <si>
    <t>Carbon fixation by phytoplankton in high Arctic lakes: Implications of low temperature for photosynthesis</t>
  </si>
  <si>
    <t>MAXIMUM QUANTUM YIELD; SEA-ICE MICROALGAE; DEGREES N LAT; IRRADIANCE RELATIONSHIPS; ANTARCTIC PHYTOPLANKTON; CORNWALLIS-ISLAND; MCMURDO SOUND; CHAR LAKE; MARINE-PHYTOPLANKTON; LIGHT-ABSORPTION</t>
  </si>
  <si>
    <t>Photosynthesis vs. irradiance relationships were determined for phytoplankton communities from seven lakes in the Canadian high Arctic, including ultraoligotrophic Char Lake, nutrient-enriched Meretta Lake, and two meromictic lakes. The derived photosynthetic parameters were low for all samples, with a mean (+/-SD) light-saturated photosynthetic rate (P-m(B)) of 0.46 (+/-0.28) g C g(-1) chlorophyll a (Chl a) h(-1) and a mean alpha(beta) (light-Limitation parameter) of 1.23 (+/-0.56) g C g(-1) Chl a m(2) mol(-1). The saturation irradiance (E-k) ranged from 50 to 196 mu mol quanta m(-2) s(-1) and was positively correlated with mean irradiance for the water column. Quantum yields for photosynthesis in the Arctic lake phytoplankton were also low (mostly &lt;10 mmol C mol(-1) quanta). An intersystem comparison of alpha(beta) and P-m(B) values with literature data for algae from other cold environments showed that the photosynthetic parameters for phytoplankton in Arctic and Antarctic lakes are three- to sixfold lower than for marine algae, ice algae, and cultures over the same low-temperature range. This may be the result of more severe nutrient stress in high-latitude lakes relative to polar marine environments and to the persistence of nonactive pigments in cold freshwaters.</t>
  </si>
  <si>
    <t>Univ Laval, Dept Biol, Ste Foy, PQ G1K 7P4, Canada; Univ Laval, Ctr Etud Nord, Ste Foy, PQ G1K 7P4, Canada</t>
  </si>
  <si>
    <t>Laval University; Laval University</t>
  </si>
  <si>
    <t>Vincent, Warwick F/C-9522-2009; Vincent, Warwick/AAH-6152-2019; Markager, Stiig/I-7587-2013</t>
  </si>
  <si>
    <t>Vincent, Warwick/0000-0001-9055-1938; Markager, Stiig/0000-0001-5427-2026</t>
  </si>
  <si>
    <t>Danish Science Research Council [9400292]; Natural Sciences and Engineering Research Council (Canada); Carlsberg Foundation, Denmark</t>
  </si>
  <si>
    <t>Danish Science Research Council(Det Frie Forskningsrad (DFF)); Natural Sciences and Engineering Research Council (Canada)(Natural Sciences and Engineering Research Council of Canada (NSERC)); Carlsberg Foundation, Denmark(Carlsberg Foundation)</t>
  </si>
  <si>
    <t>This research was funded by The Danish Science Research Council (grant 9400292) and by the Natural Sciences and Engineering Research Council (Canada). Logistic support was provided by the Polar Continental Shelf Project (this is PCSP publication 003998). Additional funding for instrumentation was provided by The Carlsberg Foundation, Denmark. We are grateful to the staff of Polar Continental Shelf Project for its help and to the Polaris Mine for permission to work on Lake Garrow.</t>
  </si>
  <si>
    <t>10.4319/lo.1999.44.3.0597</t>
  </si>
  <si>
    <t>WOS:000080326300011</t>
  </si>
  <si>
    <t>Kim, JM</t>
  </si>
  <si>
    <t>Early Neogene biochemostratigraphy of Pohang Basin: a paleoceanographic response to the early opening of the Sea of Japan (East Sea)</t>
  </si>
  <si>
    <t>biochemostratigraphy; planktonic foraminifera; delta O-18; delta C-13; early neogene; Pohang Basin; Japan Sea</t>
  </si>
  <si>
    <t>EVENTS</t>
  </si>
  <si>
    <t>The location of the Pohang Basin near the Korea Strait in the southwest of the Sea of Japan (East Sea) makes this area appropriate for providing a record of paleoenvironmental/biotic changes associated with the early Neogene (similar to 16.5 Ma) opening of this gateway to the Pacific Ocean. Stable isotopic and planktonic foraminiferal records are presented that assist with the understanding of paleoenvironmental changes in the Sea of Japan resulting from the opening of the Korea Strait. The oldest sediments of early Neogene age of the Pohang Basin overlie Cretaceous basement and are Early Miocene (&gt;similar to 16.5 Ma) shallow, estuarine facies containing a benthic foraminiferal assemblage dominated by Ammonia beccarii (L.). The oldest early Neogene planktonic foraminiferal assemblages in the basin are similar to 16.5 Ma in age (latest Early Miocene foraminiferal zone N8), The migration of these planktonic assemblages to the Sea of Japan at that time appears to have resulted from the initial opening of the Korea Strait, The overlying early Neogene marine sequence of the Pohang Basin extends from 16.5 Ma (Zone N8) through 14 Ma (Zone N10). Change in the oxygen isotopic record of the Pohang Basin sequence suggests strong local paleoenvironmental control related to the early opening of the Korea Strait. Early Middle Miocene isotopic temperatures of planktonic foraminifera are relatively cool at similar to 15 Ma at a time when global temperatures were high in the middle/low latitude regions. It was not until 14.8 Ma that isotopic temperatures of planktonic foraminifera increased markedly. This distinct warming is inferred to reflect the major intrusion of the Kuroshio Current into the Sea of Japan probably as a result of further critical opening and deepening of the Korea Strait. At this time planktonic foraminifera increased in abundance reflecting expanding oceanic influence. A cooling that followed at similar to 14.5 Ma, when the strait was well open is unlikely to reflect local tectonic control on the paleoceanography, but global cooling during the early Middle Miocene associated with the expansion of the East Antarctic ice sheet. (C) 1999 Elsevier Science B.V. All rights reserved.</t>
  </si>
  <si>
    <t>Univ Calif Santa Barbara, Dept Geol Sci, Santa Barbara, CA 93106 USA</t>
  </si>
  <si>
    <t>University of California System; University of California Santa Barbara</t>
  </si>
  <si>
    <t>Kim, JM (corresponding author), Univ Calif Santa Barbara, Dept Geol Sci, Santa Barbara, CA 93106 USA.</t>
  </si>
  <si>
    <t>10.1016/S0377-8398(99)00006-7</t>
  </si>
  <si>
    <t>191RB</t>
  </si>
  <si>
    <t>WOS:000080034400006</t>
  </si>
  <si>
    <t>That first Antarctic winter: The story of the Southern Cross expedition of 1898-1900, as told in the diaries of Louis Charles Bernacchi</t>
  </si>
  <si>
    <t>196NH</t>
  </si>
  <si>
    <t>WOS:000080314100045</t>
  </si>
  <si>
    <t>Genge, MJ; Grady, MM</t>
  </si>
  <si>
    <t>The fusion crusts of stony meteorites: Implications for the atmospheric reprocessing of extraterrestrial materials</t>
  </si>
  <si>
    <t>COSMIC SPHERULES; ANTARCTIC ICE; MICROMETEORITES; ELEMENTS; ORIGIN</t>
  </si>
  <si>
    <t>Fusion crusts develop on all meteorites during their passage through the atmosphere but have been little studied. We have characterized the textures and compositions of the fusion crusts of 73 stony meteorites to identify the nature of meteorite ablation spheres (MAS) and constrain the processes operating during the entry heating. Most chondrite fusion crusts are porphyritic and are dominated by olivine, glass, and accessory magnetite; whereas those of the achondrites are mainly glassy. Chondrite fusion crusts contain sulphide droplets with high-Ni contents (&gt;55 wt%). The partially melted substrate of ordinary chondrites (underlying the outer melted crusts) are dominated by silicate glass and composite metal, sulphide, and Cr-bearing Fe-oxide droplets that form as coexisting immiscible liquids. Enstatite chondrite substrates contain Cr- and Mn- bearing sulphides. The substrates of the carbonaceous chondrites comprise a sulphide-enriched layer of matrix. The compositions of melted crusts are similar to those of the bulk meteorite. However, differences from whole rock suggest that three main processes control their chemical evolution: (I) the loss and reaction of immiscible Fe-rich liquids, (2) mixing between substrate partial melts and bulk melts of the melted crust, and (3) the loss of volatile components by evaporation and degassing. Data from fusion crusts suggest that MAS produced at low altitude have compositions within the range of those of silicate-dominated cosmic spherules that are formed by the melting dust particles. Meteorite ablation spheres produced at high altitude probably have compositions very different from bulk meteorite and will resemble cosmic spherules derived from coarse-grained precursors.</t>
  </si>
  <si>
    <t>Nat Hist Museum, Dept Mineral, London SW7 5BD, England</t>
  </si>
  <si>
    <t>Natural History Museum London</t>
  </si>
  <si>
    <t>Genge, MJ (corresponding author), Nat Hist Museum, Dept Mineral, Cromwell Rd, London SW7 5BD, England.</t>
  </si>
  <si>
    <t>mjg@nhm.ac.uk</t>
  </si>
  <si>
    <t>Grady, Monica/0000-0002-4055-533X</t>
  </si>
  <si>
    <t>1086-9379</t>
  </si>
  <si>
    <t>10.1111/j.1945-5100.1999.tb01344.x</t>
  </si>
  <si>
    <t>201AL</t>
  </si>
  <si>
    <t>WOS:000080572400008</t>
  </si>
  <si>
    <t>Norman, MD</t>
  </si>
  <si>
    <t>The composition and thickness of the crust of Mars estimated from rare earth elements and neodymium-isotopic compositions of Martian meteorites</t>
  </si>
  <si>
    <t>SHERGOTTITE PARENT BODY; EARLY DIFFERENTIATION; SNC METEORITES; MAGMATIC PROCESSES; CONTINENTAL-CRUST; DEPLETED MANTLE; TRACE-ELEMENT; ND-142 ND-144; SM-ND; PETROGENESIS</t>
  </si>
  <si>
    <t>Isotopic and trace element compositions of Martian meteorites show that early differentiation of Mars produced complementary crustal and mantle reservoirs that were sampled by later magmatic events. This paper describes a mass balance model that estimates the rare earth element (REE) content and thickness of the crust of Mars from the compositions of shergottites. The diverse REE and Nd isotopic compositions of shergottites are most easily explained by variable addition of light rare earth element (LREE)-enriched crust to basaltic magmas derived from LREE-depleted mantle source regions. Antarctic shergottites EET 79001, ALH 77005, LEW 88516, and QUE 94201 all have strongly LREE-depleted patterns and positive initial epsilon(143)Nd isotopic compositions, which is consistent with the generation of these magmas from depleted mantle sources and little or no interaction with enriched crust. In contrast, Shergotty and Zagami have negative initial epsilon(143)Nd isotopic compositions and less pronounced depletions of the LREE, which have been explained by incorporation of enriched crustal components into mantle-derived magmas (Jones, 1989; Longhi, 1991; Borg er al., 1997). The mass balance model presented here derives the REE composition of the crustal component in Shergotty by assuming it represents a mixture between a mantle-derived magma similar in composition to EET 79001A and a LREE-enriched crustal component. The amount of crust in Shergotty is constrained by mixing relations based on Nd-isotopic compositions, which allows the REE pattern of the crustal component to be calculated by mass balance. The effectiveness of this model is demonstrated by the successful recovery of important characteristics of the Earth's continental crust from terrestrial Columbia River basalts. Self-consistent results for Nd-isotopic compositions and REE abundances are obtained if Shergotty contains similar to 10-30% of LREE-enriched crust with &gt;10 ppm Nd. This crustal component would have moderately enriched LREE (Sm/Nd = 0.25-0.27; Sm-147/Nd-144 = 0.15-0.17; La/Yb = 2.7-3.8), relatively unfractionated heavy rare earth elements (HREE), and no Eu anomaly. Crust with these characteristics can be produced from a primitive lherzolitic Martian mantle by modest amounts (2-8%) of partial melting, and it would have a globally averaged thickness of less than or equal to 45 km, which is consistent with geophysical estimates. Mars may serve as a laboratory to investigate planetary differentiation by extraction of a primary basaltic crust.</t>
  </si>
  <si>
    <t>Univ Hawaii, Hawaii Inst Geophys &amp; Planetol, Honolulu, HI 96822 USA</t>
  </si>
  <si>
    <t>Norman, MD (corresponding author), Univ Tasmania, Sch Earth Sci, Ctr Ore Deposit Res, Hobart, Tas 7001, Australia.</t>
  </si>
  <si>
    <t>10.1111/j.1945-5100.1999.tb01352.x</t>
  </si>
  <si>
    <t>WOS:000080572400016</t>
  </si>
  <si>
    <t>Burckle, LH; Delaney, JS</t>
  </si>
  <si>
    <t>Terrestrial microfossils in Antarctic ordinary chondrites</t>
  </si>
  <si>
    <t>MARTIAN METEORITE; PAST LIFE; ICE-SHEET; DIATOMS; MARS; DEPOSITS; ALH84001; HISTORY</t>
  </si>
  <si>
    <t>Microfossils have been separated and identified in four high metamorphic grade chondrites from Allan Hills and Queen Alexandra Range, Antarctica. Diatoms and opal phytoliths representing both marine and terrestrial flora were recognized among the dust removed from cracks in all meteorites studied. It is likely that contamination of Antarctic meteorites with such biogenic material is ubiquitous. Standard clean room procedures to avoid laboratory introduction of microfossils into the meteorites were followed, and the genera and species identified so far are characteristic of marine, freshwater, and continental environments. The most probable mechanism for introduction of the microfossils into the meteorites is eolian transport to and on the polar ice cap. It is likely that wind-driven systems may sample atmospherically transported material from large portions of the southern hemisphere. Entrainment of terrestrial microfossils is probably a typical interaction of meteorites with the Antarctic environment and must be recognized and accounted for in any attempt to use Antarctic meteorites as sources of extraterrestrial life forms. Organic molecules derived from microfossils are likely to be pervasive throughout any crack network present in a meteorite at all scales from millimeter to submicron. Cracks are a ubiquitous consequence of weathering in and on the Antarctic ice and the probability that crack surfaces contain terrestrial organic materials is high.</t>
  </si>
  <si>
    <t>Columbia Univ, Lamont Doherty Earth Observ, Palisades, NY 10964 USA; Rutgers State Univ, Dept Geol Sci, Piscataway, NJ 08854 USA</t>
  </si>
  <si>
    <t>Columbia University; Rutgers University System; Rutgers University New Brunswick</t>
  </si>
  <si>
    <t>Columbia Univ, Lamont Doherty Earth Observ, Palisades, NY 10964 USA.</t>
  </si>
  <si>
    <t>burckle@ldeo.columbia.edu</t>
  </si>
  <si>
    <t>1945-5100</t>
  </si>
  <si>
    <t>10.1111/j.1945-5100.1999.tb01354.x</t>
  </si>
  <si>
    <t>WOS:000080572400018</t>
  </si>
  <si>
    <t>Skotnicki, ML; Ninham, JA; Selkirk, PM</t>
  </si>
  <si>
    <t>Genetic diversity and dispersal of the moss Sarconeurum glaciale on Ross Island, East Antarctica</t>
  </si>
  <si>
    <t>MOLECULAR ECOLOGY</t>
  </si>
  <si>
    <t>Antarctica; colonization; genetic diversity; moss; RAPD; Sarconeurum glaciale</t>
  </si>
  <si>
    <t>SOMATIC MUTATION; VICTORIA-LAND; DNA; POPULATIONS; MARKERS; PLANTS</t>
  </si>
  <si>
    <t>The extent of genetic variation and dispersal mechanisms were investigated over short distances of 1-100 m, and up to 3 km, by the random amplified polymorphic DNA (RAPD) technique, for the moss Sarconeurum glaciale, at three locations on Ross Island, Antarctica. At Arrival Heights, genetic variation occurred within single colonies, and the relationships between clumps indicated that they were dispersed down small, meltwater drainage channels by water. The genetic similarities between the colonies from Arrival Heights and others from Scott Base and Crater Hill, a few km away, together with the prevailing wind direction and absence of this moss in the intervening snow-covered area, suggested longer-distance dispersal by wind. Overall, the Ross Island samples appeared to form a single, polymorphic population that was distinct from another population at Canada Glacier, 110 km distant. Somatic mutation, rather than immigration of genetically different propagules from elsewhere, appeared to be the most probable cause of genetic variability in these haploid, vegetatively reproducing Antarctic moss populations, Initiation of recolonization of S. glaciale across a dirt track at Arrival Heights was also investigated by RAPDs, to investigate how regrowth of mosses in disturbed areas occurred in the extreme environment of Antarctica.</t>
  </si>
  <si>
    <t>Australian Natl Univ, RSBS, Inst Adv Studies, Photobioenerget Unit, Canberra, ACT 2601, Australia; Macquarie Univ, Sch Biol Sci, Sydney, NSW 2109, Australia</t>
  </si>
  <si>
    <t>Australian National University; Macquarie University</t>
  </si>
  <si>
    <t>Skotnicki, ML (corresponding author), Australian Natl Univ, RSBS, Inst Adv Studies, Photobioenerget Unit, POB 475, Canberra, ACT 2601, Australia.</t>
  </si>
  <si>
    <t>0962-1083</t>
  </si>
  <si>
    <t>MOL ECOL</t>
  </si>
  <si>
    <t>Mol. Ecol.</t>
  </si>
  <si>
    <t>207TY</t>
  </si>
  <si>
    <t>WOS:000080952900005</t>
  </si>
  <si>
    <t>Fodstad, H; Kondziolka, D; Brophy, BP; Roberts, DW; Girvin, JP</t>
  </si>
  <si>
    <t>2nd Arctic Stereotactic Conference</t>
  </si>
  <si>
    <t>JUN, 1998</t>
  </si>
  <si>
    <t>BAFFIN ISLAND, CANADA</t>
  </si>
  <si>
    <t>Eskimo; navigation; polar explorers; scurvy; Viking</t>
  </si>
  <si>
    <t>Ancient mariners consider the northern end of the earth to be an island called Thule. During Roman times, this was presumed to be an approximate 6-day sail from Britain. Although not currently geographically identified, Virgil's Georgics make references to thule as both fact and ephemeral concept, under scoring man's fascination with and need to achieve the edge of the envelope. Examination of the sagas of polar explorations presents facets of character and fundamental elements of mankind that strive to explore and to achieve the difficult-arguably an essential ingredient in the persona of the neurosurgeon.</t>
  </si>
  <si>
    <t>Cornell Med Ctr, New York Methodist Hosp, Dept Neurosurg, Div Neurosurg, Brooklyn, NY 11215 USA; Univ Pittsburgh, Dept Neurol Surg, Pittsburgh, PA 15260 USA; Flinders Med Ctr, Dept Neurosurg, Bedford Pk, SA, Australia; Dartmouth Hitchcock Med Ctr, Neurosurg Sect, Lebanon, NH 03766 USA; London Hlth Sci Ctr, Div Neurosurg, London, ON, Canada</t>
  </si>
  <si>
    <t>NewYork-Presbyterian Brooklyn Methodist Hospital; Cornell University; NewYork-Presbyterian Hospital; Pennsylvania Commonwealth System of Higher Education (PCSHE); University of Pittsburgh; Flinders Medical Centre; Dartmouth College; London Health Sciences Centre</t>
  </si>
  <si>
    <t>Fodstad, H (corresponding author), Cornell Med Ctr, New York Methodist Hosp, Dept Neurosurg, Div Neurosurg, 506 6th St, Brooklyn, NY 11215 USA.</t>
  </si>
  <si>
    <t>10.1097/00006123-199905000-00001</t>
  </si>
  <si>
    <t>189KN</t>
  </si>
  <si>
    <t>WOS:000079903800001</t>
  </si>
  <si>
    <t>Goodrich, JT</t>
  </si>
  <si>
    <t>Arctic and Antarctic exploration including the contributions of physicians and effects of disease in the polar regions - Comment</t>
  </si>
  <si>
    <t>10.1097/00006123-199905000-00002</t>
  </si>
  <si>
    <t>WOS:000079903800002</t>
  </si>
  <si>
    <t>Langmoen, IA</t>
  </si>
  <si>
    <t>10.1097/00006123-199905000-00004</t>
  </si>
  <si>
    <t>WOS:000079903800004</t>
  </si>
  <si>
    <t>Laws, ER</t>
  </si>
  <si>
    <t>10.1097/00006123-199905000-00003</t>
  </si>
  <si>
    <t>WOS:000079903800003</t>
  </si>
  <si>
    <t>Tang, EPY; Vincent, WF</t>
  </si>
  <si>
    <t>Strategies of thermal adaptation by high-latitude cyanobacteria</t>
  </si>
  <si>
    <t>NEW PHYTOLOGIST</t>
  </si>
  <si>
    <t>Antarctic; Arctic; cyanobacteria; carbon partitioning; photosynthesis; pigment</t>
  </si>
  <si>
    <t>LOW-TEMPERATURE MIMICS; MARINE-PHYTOPLANKTON; ELECTRON-TRANSPORT; CARBON METABOLISM; PHOTOSYSTEM-II; LIGHT; PHOTOSYNTHESIS; GROWTH; CHLOROPHYLL; ICE</t>
  </si>
  <si>
    <t>Although mat-forming cyanobacteria dominate many freshwater ecosystems in the Arctic and Antarctic, their optimal temperature for growth (T-opt) is usually much higher than the temperature range of their native habitat. The present study compared the temperature dependence of growth, pigment composition and absorbance, photosynthesis and photosynthate partitioning for two strains of cyanobacteria with contrasting T-opt values; Phormidium subfuscum, isolated from McMurdo Ice Shelf, Antarctica, and Phormidium tenue, collected from the Kuparuk River in the tundra region of northern Alaska. Phormidium subfuscum grew between 5 and 20 degrees C with a T-opt of 15 degrees C whereas P. tenue showed detectable growth from 10 to 40 degrees C and a T-opt of 30 degrees C. Light utilization efficiency, photosynthetic capacity and the irradiance at the onset of light saturation increased with increasing temperature up to T-opt in both strains. The cellular concentrations of chlorophyll a (Chl a) and carotenoid (CAR) and the in vivo absorbance maxima for Chi a, CAR, C-phycocyanin and allophycocyanin changed little for P. subfuscum but all these variables increased across the temperature range up to T-opt for P. tenue. Neither P. subfuscum nor P. tenue showed changes in relative carbon allocation with varying temperature, suggesting that gross biochemical alterations are not a characteristic of temperature acclimation in these cyanobacteria. We conclude that the eurythermal cyanobacterium P. tenue optimizes growth over a wide range of temperatures by adjusting its light-capturing as well as carbon fixation characteristics, whereas stenothermal P. subfuscum relies on changes in carbon fixation without concomitant shifts in pigment content.</t>
  </si>
  <si>
    <t>Smithsonian Environm Res Ctr, POB 28, Edgewater, MD 21037 USA.</t>
  </si>
  <si>
    <t>tang@serc.si.edu</t>
  </si>
  <si>
    <t>Vincent, Warwick F/C-9522-2009; Vincent, Warwick/AAH-6152-2019</t>
  </si>
  <si>
    <t>Vincent, Warwick/0000-0001-9055-1938</t>
  </si>
  <si>
    <t>0028-646X</t>
  </si>
  <si>
    <t>1469-8137</t>
  </si>
  <si>
    <t>NEW PHYTOL</t>
  </si>
  <si>
    <t>New Phytol.</t>
  </si>
  <si>
    <t>10.1046/j.1469-8137.1999.00385.x</t>
  </si>
  <si>
    <t>208PT</t>
  </si>
  <si>
    <t>WOS:000081001100012</t>
  </si>
  <si>
    <t>Voronina, NM</t>
  </si>
  <si>
    <t>The vertical distribution and seasonal migrations of populations of common copepods in the Pacific sector of the Antarctic and their dependence on the environmental factors</t>
  </si>
  <si>
    <t>CALANOIDES-ACUTUS; WEDDELL SEA; RHINCALANUS-GIGAS; SOUTH-GEORGIA; WINTER; STRATEGIES</t>
  </si>
  <si>
    <t>The vertical distribution of three mass copepod species(Calanoides acutus, Calanus propinquus and Rhincalanus gigas) was studied. The material was collected in February - March, 1992 in the Pacific sector along 67 degrees S transect, fulfilled from east to west. Low-latitudinal and high-latitudinal modifications of waters and their mixting zone in the Ross Gyre were intersected. The plankton was sampled from 1500 m to the surface. The sequence of the median depths of the populations was the following: C. propinquus, R, gigas, C. acutus. The population of C. propinquus inhabited in the whole area mainly the epipelagic zone, while R. gigas in the course of time was ascending from the deep layers. C. acutus in the beginning of the studies was in the state of upward spring migration, in the middle had a typical summer maximum and in the last period its downward migration began. The factors, influencing the copepods vertical distribution were considered. It was found that: 1)When the pycnocline was weak (&lt;0.01 kg/m(4)), the young development stages could not retain in the upper mixed layer and descend to the depth, resulting young age composition of the overwintering population. 2) In the winter the median depth of the females of C. acutus was deeper than 1000 m, The waters at the latitudes studied became free from ice in January - February. At this time the illumination can induce the phototaxis only of a higher distributed part of the overintering plankters. In the result only a limited part of them will asscent for reproduction. 3) Grazing by a large dense aggregation of salps resulted anomalies of vertical distribution and age structure of copepods. All these circumstances lead to decrease of plankton abundance. In the waters of different modifications different copepod populations prevail. The type of seasonal succession does not depend on the type of water modification.</t>
  </si>
  <si>
    <t>PP Shirshov Oceanol Inst, Moscow, Russia</t>
  </si>
  <si>
    <t>Russian Academy of Sciences; Shirshov Institute of Oceanology</t>
  </si>
  <si>
    <t>Voronina, NM (corresponding author), PP Shirshov Oceanol Inst, Moscow, Russia.</t>
  </si>
  <si>
    <t>224KA</t>
  </si>
  <si>
    <t>WOS:000081896000010</t>
  </si>
  <si>
    <t>McMahon, CR; Burton, HR; Bester, MN</t>
  </si>
  <si>
    <t>First-year survival of southern elephant seals, Mirounga leonina, at sub-Antarctic Macquarie Island</t>
  </si>
  <si>
    <t>POPULATION; GEORGIA; MAMMALS</t>
  </si>
  <si>
    <t>Juvenile seals branded on the isthmus of Macquarie Island as pups displayed a high degree of philopatry. They returned more often and in greater densities to the northern third of the island within 10 km of their birth sites. Juvenile seals were observed to haul out more frequently and in greater numbers on the east coast as opposed to the west. Juvenile seals typically hauled out on two occasions, once during the winter, and once to moult. The probability of recapturing (resighting) branded and tagged seals was greater during the mid-year haulout. First-year survival estimates were obtained from searches of all Macquarie Island beaches for marked (branded and tagged) seals. From a branded population of 2000 seals, 897 were known to be alive at age 1 year, and minimum first-year survival was calculated at 44.85%. To this minimum estimate was added the number of seals overlooked during systematic and standardised searches of the island, and a revised estimate of 65.60% was calculated. Survival rates calculated using a custom model and a conventional mark-recapture model (MARK) were compared and no differences detected. Actual survival data and probability of sighting estimates were included in the revised estimate of first-year survival of southern elephant seals at Macquarie Island. There were no differences in the number of surviving males and females.</t>
  </si>
  <si>
    <t>Australian Antarctic Div, Kingston, Tas 7050, Australia; Univ Pretoria, Dept Zool &amp; Entomol, ZA-0002 Pretoria, South Africa</t>
  </si>
  <si>
    <t>Australian Antarctic Division; University of Pretoria</t>
  </si>
  <si>
    <t>McMahon, CR (corresponding author), Australian Antarctic Div, Channel Highway, Kingston, Tas 7050, Australia.</t>
  </si>
  <si>
    <t>McMahon, Clive R/D-5713-2013; Bester, Marthán N/E-5387-2010</t>
  </si>
  <si>
    <t>McMahon, Clive R/0000-0001-5241-8917;</t>
  </si>
  <si>
    <t>10.1007/s003000050363</t>
  </si>
  <si>
    <t>193ZC</t>
  </si>
  <si>
    <t>WOS:000080166800002</t>
  </si>
  <si>
    <t>Kepner, RL; Wharton, RA; Coats, DW</t>
  </si>
  <si>
    <t>Ciliated protozoa of two antarctic lakes: analysis by quantitative protargol staining and examination of artificial substrates</t>
  </si>
  <si>
    <t>HILLS EASTERN ANTARCTICA; ICE-COVERED LAKE; WATER-COLUMN; VICTORIA-LAND; SALINE LAKES; ALGAL MATS; DYNAMICS; FRYXELL; COMMUNITIES; PLANKTON</t>
  </si>
  <si>
    <t>Planktonic and artificial substrate-associated ciliates have been identified in two perennially ice-covered antarctic lakes of the McMurdo Dry Valleys. Abundances estimated by quantitative protargol staining ranged from &lt;5 to 31690 2cells . l(-1), levels that are comparable to those previously obtained using other methods. Nineteen ciliate taxa were identified from these lakes, with the most frequently encountered genera being Plagiocampa, Askenasia, Monodinium, Sphaerophrya and Vorticella. The taxonomic findings compare favorably with those of previous investigators; however four previously unreported genera were observed in both Lakes Fryxell and Hoare. The variability in the depth distributions of ciliates in Lake Fryxell is explained in terms of lake physicochemical properties and ciliate prey distributions, while factors related to temporal succession in the Lake Hoare assemblage remain unexplained. Local marine or temperate zone freshwater habitats are a more likely source than the surrounding dry valleys soils for present ciliate colonists in these lakes. Although the taxonomic uncertainties require further examination, our results suggest that ciliate populations in these antarctic lakes undergo significant fluctuations and are more diverse than was previously recognized.</t>
  </si>
  <si>
    <t>Univ Nevada, Desert Res Inst, Ctr Biol Sci, Reno, NV 89506 USA; Smithsonian Environm Res Ctr, Edgewater, MD 21037 USA</t>
  </si>
  <si>
    <t>Nevada System of Higher Education (NSHE); Desert Research Institute NSHE; University of Nevada Reno; Smithsonian Institution; Smithsonian Environmental Research Center</t>
  </si>
  <si>
    <t>Kepner, RL (corresponding author), Univ Nevada, Desert Res Inst, Ctr Biol Sci, POB 60220, Reno, NV 89506 USA.</t>
  </si>
  <si>
    <t>Coats, D Wayne/0000-0002-0636-189X</t>
  </si>
  <si>
    <t>10.1007/s003000050364</t>
  </si>
  <si>
    <t>WOS:000080166800003</t>
  </si>
  <si>
    <t>Saborowski, R; Buchholz, F</t>
  </si>
  <si>
    <t>A laboratory study on digestive processes in the Antarctic krill, Euphausia superba, with special regard to chitinolytic enzymes</t>
  </si>
  <si>
    <t>CENTRIC DIATOM CYCLOTELLA; SOUTH GEORGIA; MOLT CYCLE; ULTRASTRUCTURE; ZOOPLANKTON; HEPATOPANCREAS; PHYTOPLANKTON; CARBOHYDRASES; INTEGUMENT; INDUCTION</t>
  </si>
  <si>
    <t>Feeding experiments of 9, 14 and 20 days duration were carried out on the Antarctic krill, Euphausia superba. Two groups were fed with the chitinous diatom Cyclotella cryptica and the non-chitinous green algae Dunaliella bioculata, respectively. A control group remained unfed. The time courses of the activities of endo- and exochitinase in the stomach and the midgut gland were compared with those of the digestive enzymes protease, cellulase (1,4-beta-D-glucanase) and laminarinase (1,3-beta-D-glucanase). Specific activities of all enzymes were higher in the stomach than in the midgut gland. Characteristic time courses of activity were evident after 4 days. In starved animals, enzyme activities decreased to a minimum after 4 days and recovered within 14 days to initial values. In the stomach, the activities of endo- and exochitinase increased when krill were fed on Cyclotella. For animals fed with Dunaliella, activities stayed constant or decreased slightly. The results confirm chitinases as digestive enzymes and, therefore, the capability of krill to utilize various food sources.</t>
  </si>
  <si>
    <t>Biol Anstalt Helgoland, AWI, Meeresstn, D-27483 Helgoland, Germany</t>
  </si>
  <si>
    <t>Saborowski, R (corresponding author), Biol Anstalt Helgoland, AWI, Meeresstn, D-27483 Helgoland, Germany.</t>
  </si>
  <si>
    <t>Saborowski, Reinhard/0000-0003-0289-6501</t>
  </si>
  <si>
    <t>10.1007/s003000050365</t>
  </si>
  <si>
    <t>WOS:000080166800004</t>
  </si>
  <si>
    <t>Lateral line mediated rheotaxis in the Antarctic fish Pagothenia borchgrevinki</t>
  </si>
  <si>
    <t>SUPERFICIAL NEUROMASTS; NOTOTHENIOID FISH</t>
  </si>
  <si>
    <t>The sensory basis of rheotaxis was investigated in Pagothenia borchgrevinki utilising a laminar flow chamber. The threshold for P. borchgrevinki to exhibit an unconditioned rheotactic response lay between 1 and 2 cm s(-1). Disabling the entire lateral line or the superficial neuromast receptors increased the rheotactic threshold to greater than 5 cm s(-1) Pharmacological blocking of the lateral line canal system alone had no effect. This study provides a direct demonstration that the superficial lateral line system is involved in mediating rheotaxis. These results, coupled with previous work on Antarctic fishes, suggest a division of labour exists between the two submodalities of the lateral line system. Superficial neuromasts are more responsive to unmodulated flows (DC) and mediate behaviour such as rheotaxis, whereas canal neuromasts detect acceleration components of modulated flows (AC) and are more concerned with behaviour such as feeding.</t>
  </si>
  <si>
    <t>10.1007/s003000050366</t>
  </si>
  <si>
    <t>WOS:000080166800005</t>
  </si>
  <si>
    <t>Beardall, J; Roberts, S</t>
  </si>
  <si>
    <t>Inorganic carbon acquisition by two Antarctic macroalgae, Porphyra endiviifolium (Rhodophyta: Bangiales) and Palmaria decipiens (Rhodophyta: Palmariales)</t>
  </si>
  <si>
    <t>LONG-TERM CULTURE; MARINE MACROALGAE; TEMPERATURE REQUIREMENTS; ISOTOPE COMPOSITION; PHOTOSYNTHESIS; LIGHT; PHYTOPLANKTON; GROWTH; SEASONALITY; ADAPTATION</t>
  </si>
  <si>
    <t>Aspects of the physiology of two rhodophyte macroalgae from the Antarctic, Palmaria decipiens and Porphyra endiviifolium, were examined. Both species showed low light compensation points and I-k values. Measurements of the dissolved inorganic carbon dependent kinetics of oxygen evolution gave values for K-0.5 (CO2) of 10.5 and 3.7 mu M for Palmaria and Porphyra a respectively. These values are lower than expected from the kinetic properties of ribulose 1,5-bisphosphate carboxylase oxygenase and imply that the two species are capable of the active transport and accumulation of dissolved inorganic carbon by a CO2 concentrating mechanism. Both organisms are able to use bicarbonate from the bulk medium. These features are similar to those found in temperate species and thus, despite the low photon flux, low temperatures and consequent elevated CO2 concentrations in seawater at air-equilibration, the Antarctic rhodophytes examined appeared not to have a diminished capacity for transport of dissolved inorganic carbon and internal CO2 concentration.</t>
  </si>
  <si>
    <t>Monash Univ, Dept Sci Biol, Clayton, Vic 3168, Australia</t>
  </si>
  <si>
    <t>Beardall, J (corresponding author), Monash Univ, Dept Sci Biol, Clayton, Vic 3168, Australia.</t>
  </si>
  <si>
    <t>Beardall, John/A-1250-2008; Beardall, John/L-5262-2019</t>
  </si>
  <si>
    <t>Beardall, John/0000-0001-7684-446X; Beardall, John/0000-0001-7684-446X</t>
  </si>
  <si>
    <t>10.1007/s003000050367</t>
  </si>
  <si>
    <t>WOS:000080166800006</t>
  </si>
  <si>
    <t>Goldsworthy, SD</t>
  </si>
  <si>
    <t>Maternal attendance behaviour of sympatrically breeding Antarctic and subantarctic fur seals, Arctocephalus spp., at Macquarie Island</t>
  </si>
  <si>
    <t>MARION-ISLAND; GAZELLA; TROPICALIS; PATTERNS; CROZET; CYCLE; OCEAN; LONG</t>
  </si>
  <si>
    <t>Maternal attendance behaviour was studied in Antarctic (Arctocephalus gazella) and subantarctic fur seals (Arctocephalus tropicalis) which breed sympatrically at subantarctic Macquarie Island. Data on attendance were obtained using telemetric methods. Both species undertook two types of foraging trips: overnight foraging trips which were of less than 1 day duration and occurred exclusively overnight, and extended foraging trips which lasted longer than 1 day. The mean duration of overnight foraging trips was 0.43 and 0.39 days, while the duration of extended foraging trips was 3.6 and 3.8 days in A. gazella and A. tropicalis, respectively. The duration of overnight and extended foraging trips did not differ significantly between species. Two types of shore attendance bouts that differed in duration were also observed in these species. Short attendance bouts lasted less than 0.9 days, while long attendance bouts lasted longer than 0.9 days. Short attendance bouts lasted 0.4 and 0.5 days, while long attendance bouts lasted 1.6 and 1.7 days in A. gazella and A. tropicalis, respectively, and did not differ significantly between species. The most significant differences between the attendance behaviour of both species was in the percentage of foraging time allocated to overnight foraging trips (15% and 25% in A. gazella and A. tropicalis, respectively), and the percentage of time spent ashore (30% and 38% in A. gazella and A. tropicalis, respectively). The nearness of pelagic waters to Macquarie Island is considered to be the main reason that lactating females are able to undertake overnight foraging trips. These trips may be used by females as a means of optimising the costs of fasting and nursing ashore. Females may be able to save energy by only nursing pups when milk transfer efficiencies are high, and reduce the time and energy costs of fasting ashore when milk transfer efficiency is low. Of the female A. gazella that still carried transmitters at the end of lactation, 83% continued regular attendance for between 21 and 150 days post-lactation (when data collection ceased). Overwintering of A. gazella females at breeding sites has not been previously reported in other populations.</t>
  </si>
  <si>
    <t>Goldsworthy, SD (corresponding author), Univ Tasmania, Dept Zool, Antarctic Wildlife Res Unit, POB 252-05, Hobart, Tas 7001, Australia.</t>
  </si>
  <si>
    <t>10.1007/s003000050368</t>
  </si>
  <si>
    <t>WOS:000080166800007</t>
  </si>
  <si>
    <t>Brandjes, GJ; Block, W; Ernsting, G</t>
  </si>
  <si>
    <t>Spatial dynamics of two introduced species of carabid beetles on the sub-Antarctic island of South Georgia</t>
  </si>
  <si>
    <t>On the sub-Antarctic island of South Georgia two species of predatory beetle, Trechisibus antarcticus and Oopterus soledadinus (Coleoptera, Carabidae), were accidentally introduced. The colonisation process offers unique opportunities for testing ecological hypotheses in the field. As a basis for such studies, the spatial dynamics of the two species in the coastal lowland around Stromness Bay and Cumberland Bay were monitored during the period 1988-1996. Data are presented on the expansion of the two species and on the thermal characteristics of the tussock-forming grass Parodiochloa flabellata, which dominates the coastal lowlands. The largest expansion was shown by T. antarcticus, occurring as two populations in the Stromness Bay area. The origin of one of the populations, discovered in 1982, is Husvik Harbour, from where the species has colonised the central part of Stromness Bay. The second population. discovered in 1988 at Harbour Point, is invading the northern part of the area around Stromness Bay. Up to the present, three populations of O. soledadinus have been discovered. One population was found in 1988 at Husvik Harbour, co-existing with T. antarcticus, from where it is slowly expanding its distribution into the coastal zone. A second, very small, population of O. soledadinus was found in 1996 at Jason Harbour (Cumberland West Bay). The largest population of O. soledadinus, first reported in 1963, inhabits the area around Grytviken and King Edward Point (Cumberland East Bay), where it is the sole carabid species. The tussock grass vegetation offers a highly stable thermal environment compared with the more variable surroundings. Together with an ample food supply in the form of small arthropods and beetle larvae, and a vacant niche for arthropod predators, the benign microclimate of the tussock vegetation may explain the success of these predator introductions. Results of field observations on population parameters of the carabids, and laboratory measurement of egg production indicate the potential for large-scale co-existence.</t>
  </si>
  <si>
    <t>Vrije Univ Amsterdam, Dept Ecol &amp; Ecotoxicol, NL-1081 HV Amsterdam, Netherlands; British Antarctic Survey, Natl Environm Res Council, Cambridge CB3 0ET, England</t>
  </si>
  <si>
    <t>Ernsting, G (corresponding author), Vrije Univ Amsterdam, Dept Ecol &amp; Ecotoxicol, De Boelelaan 1087, NL-1081 HV Amsterdam, Netherlands.</t>
  </si>
  <si>
    <t>10.1007/s003000050369</t>
  </si>
  <si>
    <t>WOS:000080166800008</t>
  </si>
  <si>
    <t>Harris, PT</t>
  </si>
  <si>
    <t>Discussion - Sequence architecture during the Holocene transgression: an example from the Great Barrier Reef shelf, Australia - comment</t>
  </si>
  <si>
    <t>SEA-LEVEL CHANGE; RECORD; SEDIMENTATION; CORALS</t>
  </si>
  <si>
    <t>Antarctic CRC, Hobart, Tas 7001, Australia; Australian Geol Survey Org, Hobart, Tas 7001, Australia</t>
  </si>
  <si>
    <t>Geoscience Australia</t>
  </si>
  <si>
    <t>Harris, Peter T/C-6997-2009; Harris, Peter/AAI-7100-2020</t>
  </si>
  <si>
    <t>198HG</t>
  </si>
  <si>
    <t>WOS:000080417300008</t>
  </si>
  <si>
    <t>Comin, MJ; Maier, MS; Roccatagliata, AJ; Pujol, CA; Damonte, EB</t>
  </si>
  <si>
    <t>Evaluation of the antiviral activity of natural sulfated polyhydroxysteroids and their synthetic derivatives and analogs</t>
  </si>
  <si>
    <t>STEROIDS</t>
  </si>
  <si>
    <t>ophiuroid; sulfated steroids; synthesis; antiviral activity</t>
  </si>
  <si>
    <t>MARINE; STARFISH; STEROIDS</t>
  </si>
  <si>
    <t>Disodium 3 beta,21-dihydroxypregn-5-en-20-one disulfate (2), sodium 3 beta,21-dihydroxypregn-5-en-20-one 3-sulfate (3), sodium 3 beta,21-dihydroxypregn-5-en-20-one 21-sulfate (4), and disodium 3 beta,6 alpha-dihydroxy-5 alpha-pregnan-20-one disulfate (6) have been synthesized and completely characterized for the first time from readily available materials. Sulfation was performed using triethylamine-sulfur trioxide complex in dimethylformamide as the sulfating agent. Selective sulfation of 3 beta,21-dihydroxypregn-5-en-20-one rendered sodium 3 beta,21-dihydroxypregn-5-en-20-one 3-sulfate (3) as the major compound. The synthetic sulfated steroids as well as natural disulfated polyhydroxysteroids (7-9) isolated by us from the antarctic ophiuroid Astrotoma agassizii and the synthetic derivatives disodium 2 beta,3 alpha,21-trihydroxy-(20R)-cholesta-5,24-diene 3-acetate, 2,21-disulfate (7a) and 2 beta,3 alpha,21-trihydroxy-(20R)-cholesta-5,24-diene (7b) were comparatively evaluated for their inhibitory effect on the replication of one DNA (HSV-2) and two RNA (PV-3, JV) viruses. In general, steroids with sulfate groups at C-21 and C-2 or C-3 were the most effective in their inhibitory action against HSV-2 and also proved to be active against PV-3 and JV. (C) 1999 Elsevier Science Inc. All rights reserved.</t>
  </si>
  <si>
    <t>Univ Buenos Aires, Fac Ciencias Exactas &amp; Nat, Dept Quim Organ, RA-1428 Buenos Aires, DF, Argentina; Univ Buenos Aires, Fac Ciencias Exactas &amp; Nat, Dept Quim Biol, Virol Lab, RA-1428 Buenos Aires, DF, Argentina</t>
  </si>
  <si>
    <t>University of Buenos Aires; University of Buenos Aires</t>
  </si>
  <si>
    <t>Maier, MS (corresponding author), Univ Buenos Aires, Fac Ciencias Exactas &amp; Nat, Dept Quim Organ, Pabellon 2,Ciudad Univ, RA-1428 Buenos Aires, DF, Argentina.</t>
  </si>
  <si>
    <t>655 AVENUE OF THE AMERICAS, NEW YORK, NY 10010 USA</t>
  </si>
  <si>
    <t>0039-128X</t>
  </si>
  <si>
    <t>Steroids</t>
  </si>
  <si>
    <t>10.1016/S0039-128X(99)00016-1</t>
  </si>
  <si>
    <t>Biochemistry &amp; Molecular Biology; Endocrinology &amp; Metabolism</t>
  </si>
  <si>
    <t>208GG</t>
  </si>
  <si>
    <t>WOS:000080982200004</t>
  </si>
  <si>
    <t>Pisanu, B; Bain, O</t>
  </si>
  <si>
    <t>Aonchotheca musimon n sp (Nematoda: Capillariinae) from the mouflon Ovis musimon in the sub-Antarctic Kerguelen archipelago, with comments on the relationships with A-bilobata (Bhalerao, 1933) Moravec, 1982 and other species of the genus</t>
  </si>
  <si>
    <t>SYSTEMATIC PARASITOLOGY</t>
  </si>
  <si>
    <t>An intestinal capillariid nematode, Aonchotheca musimon n. sp., is described from Ovis musimon imported into the Kerguelen archipelago (Terres Australes et Antarctiques Francaises). The comparison of this new material with other Aonchotheca spp. is based on the usual characters, i.e. spicule, caudal bursa, number of papillae, stichosome, bacillary bands, shape of the cirrus, and on the length of the ejaculatory duct which appears to be of some phylogenetic value. A. musimon, of which the spicule is 208-230 mu m long, is close to A. bilobata, another parasite of bovids, which is redescribed here. It is distinct from this species because the posterior region of the female worm is cylindrical instead of conical, the lateral alae of the male worm are longer, quadrangular and instead of triangular and smooth, the caudal bursa has a folded dorso-lateral edge, there is a recurrent ventral fold of the cirrus, the slender distal part of the spicule is longer, the oesophagus is shorter in both sexes the slightly larger eggs have a thicker shell. These two species from bovids and A. murissylvatici from murid rodents, of which the main characters are similar, represent a small group with a very elongate ejaculatory duct (1.9-2.5 mm). This is in contrast to a larger group of species with a short ejaculatory duct (350-600 mu m), which are parasites of Chiroptera (A. brosseti, A. chabaudi, A. landauae, A. gabonensis), Insectivora (A. erinacei), mustelid Carnivora (A. putorii, A. mustelorum) and glirid rodents (A. myoxinitelae, A. legerae). A. bovis and A. dessetae, respectively parasites of bovids and lagomorphs, present an ejaculatory duct of intermediary length and do not belong to these groups. Several species are tranferred to the genus Aonchotheca: A. kashmirensis (Raina &amp; Kaul, 1982) n. comb., A. legerae (Justine, Ferte &amp; Bain, 1987) n. comb., A. forresteri (Kinsella &amp; Pence, 1987) n. comb., A. chabaudi (Justine, 1989) n. comb.,A. landauae (Justine, 1989) n. comb., A. brosseti (Justine, 1989) n. comb., A. gabonensis (Justine, 1989) n. comb, and A. dessetae (Justine, 1990) n. comb.</t>
  </si>
  <si>
    <t>Univ Rennes 1, Museum Natl Hist Nat, F-75005 Paris, France; Museum Natl Hist Nat, CNRS, F-75005 Paris, France; Museum Natl Hist Nat, Ecole Prat Hautes Etud, F-75005 Paris, France</t>
  </si>
  <si>
    <t>Museum National d'Histoire Naturelle (MNHN); Universite de Rennes; Museum National d'Histoire Naturelle (MNHN); Centre National de la Recherche Scientifique (CNRS); Museum National d'Histoire Naturelle (MNHN); Universite PSL; Ecole Pratique des Hautes Etudes (EPHE)</t>
  </si>
  <si>
    <t>Pisanu, B (corresponding author), Univ Rennes 1, Museum Natl Hist Nat, UMR 6553,36 Rue Geoffroy St Hilaire, F-75005 Paris, France.</t>
  </si>
  <si>
    <t>0165-5752</t>
  </si>
  <si>
    <t>SYST PARASITOL</t>
  </si>
  <si>
    <t>Syst. Parasitol.</t>
  </si>
  <si>
    <t>10.1023/A:1006119714038</t>
  </si>
  <si>
    <t>190XN</t>
  </si>
  <si>
    <t>WOS:000079990700004</t>
  </si>
  <si>
    <t>Campin, JM; Goosse, H</t>
  </si>
  <si>
    <t>Parameterization of density-driven downsloping flow for a coarse-resolution ocean model in z-coordinate</t>
  </si>
  <si>
    <t>ANTARCTIC BOTTOM WATER; GENERAL-CIRCULATION MODELS; WORLD OCEAN; WEDDELL SEA; DEEP-WATER; GLOBAL OCEAN; ARCTIC-OCEAN; SHELF WATER; ROSS-SEA; ATLANTIC</t>
  </si>
  <si>
    <t>In the World Ocean, densest waters found on the continental shelves induce density driven downsloping currents that can influence the deep ocean water masses properties. This process is poorly represented in z-coordinate ocean models, especially in Ocean General Circulation Model (OGCM) with coarse resolution in both horizontal and vertical directions. Consequently, continental shelves appear to be too isolated from the open ocean, whereas the density remains too low in the deep ocean. This study presents a simple parameterization of downsloping flow designed for z-coordinate, coarse resolution ocean model. At the shelf break, when the density on the shelf is higher than that in the neighbouring deep water column, a downsloping current is set up. This current is linearly related to the horizontal density gradient between the two adjacent boxes, using a prescribed coefficient. For simplicity, a uniform value of the coefficient is used here, although it should ideally vary in space. From the shelf, the downsloping flow is assumed to go downward along the slope until it reaches a level of equal density. An upward return flow of equal magnitude maintains the conservation of mass. This parameterization has been implemented in an OGCM and two experiments, with and without this scheme, have been integrated until equilibrium using restoring boundary conditions. The impact of the downsloping parameterization on the global ocean is dominated by the improvement of the Antarctic bottom water circulation and water mass properties. The parameterization increases the density of the deep ocean and tends to reduce the intensity and depth of the North Atlantic deep water circulation, which is in better agreement with observations. As a result of a higher exchange with the open ocean, the properties of continental shelf waters are also improved, with a marked reduction of the Antarctic shelves salinities. Therefore, this simple parameterization leads to a significant improvement of the model results, at little computational cost.</t>
  </si>
  <si>
    <t>Campin, JM (corresponding author), Univ Catholique Louvain, Inst Astron &amp; Geophys G Lemaitre, 2 Chemin Cyclotron, B-1348 Louvain, Belgium.</t>
  </si>
  <si>
    <t>10.1034/j.1600-0870.1999.t01-3-00006.x</t>
  </si>
  <si>
    <t>208ZF</t>
  </si>
  <si>
    <t>WOS:000081021900006</t>
  </si>
  <si>
    <t>Turkiewicz, M; Gromek, E; Kalinowska, H; Zielinska, M</t>
  </si>
  <si>
    <t>Biosynthesis and properties of an extracellular metalloprotease from the Antarctic marine bacterium Sphingomonas paucimobilis</t>
  </si>
  <si>
    <t>JOURNAL OF BIOTECHNOLOGY</t>
  </si>
  <si>
    <t>International Symposium on Marine Bioprocess Engineering</t>
  </si>
  <si>
    <t>NOV 08-11, 1998</t>
  </si>
  <si>
    <t>NOORDWIJKERHOUT, NETHERLANDS</t>
  </si>
  <si>
    <t>psychrophilic enzymes; metalloprotease; Antarctic marine bacteria</t>
  </si>
  <si>
    <t>PSEUDOMONAS-FLUORESCENS; ENZYMES; MICROORGANISMS; PROTEINS</t>
  </si>
  <si>
    <t>An extracellular protease from the marine bacterium Sphingomonas paucimobilis, strain 116, isolated from the stomach of Antarctic krill, Euphausia superba Dana, was purified and characterized. The excretion of protease was maximal at temperatures from 5 to 10 degrees C, i.e. below the temperature optimum for the strain growth (15 degrees C). The highly purified enzyme was a metalloprotease [sensitivity to ethylenediaminetetraacetic acid (EDTA)] and showed maximal activity against proteins at 20-30 degrees C and pH 6.5-7.0, and towards N-benzoyl-tyrosine ethyl ester (BzTyrOEt) at pH 8.0. At 0 degrees C the enzyme retained as much as 47% of maximal activity in hydrolysis of urea denatured haemoglobin (Hb) (at pH 7.0), and at -5 and -10 degrees C, 37 and 30%, respectively. The metalloprotease was stable up to 30 degrees C for 15 min and up to 20 degrees C for 60 min. These results indicate that the proteinase from S. paucimobilis 116 is a cold-adapted enzyme. (C) 1999 Elsevier Science B.V. All rights reserved.</t>
  </si>
  <si>
    <t>Tech Univ Lodz, Inst Tech Biochem, PL-90924 Lodz, Poland</t>
  </si>
  <si>
    <t>Lodz University of Technology</t>
  </si>
  <si>
    <t>Tech Univ Lodz, Inst Tech Biochem, 4-10 Stefanowskiego St, PL-90924 Lodz, Poland.</t>
  </si>
  <si>
    <t>mtur@ck-sg.p.lodz.pl</t>
  </si>
  <si>
    <t>Kalinowska, Halina/0000-0001-8902-0005</t>
  </si>
  <si>
    <t>0168-1656</t>
  </si>
  <si>
    <t>1873-4863</t>
  </si>
  <si>
    <t>J BIOTECHNOL</t>
  </si>
  <si>
    <t>J. Biotechnol.</t>
  </si>
  <si>
    <t>APR 30</t>
  </si>
  <si>
    <t>10.1016/S0168-1656(99)00057-7</t>
  </si>
  <si>
    <t>Biotechnology &amp; Applied Microbiology</t>
  </si>
  <si>
    <t>211WX</t>
  </si>
  <si>
    <t>WOS:000081185800007</t>
  </si>
  <si>
    <t>Curtis, ML; Leat, PT; Riley, TR; Storey, BC; Millar, IL; Randall, DE</t>
  </si>
  <si>
    <t>Middle Cambrian rift-related volcanism in the Ellsworth Mountains, Antarctica: tectonic implications for the palaeo-Pacific margin of Gondwana</t>
  </si>
  <si>
    <t>Cambrian; continental-rift; Antarctica; volcanic; tectonics</t>
  </si>
  <si>
    <t>CENTRAL TRANSANTARCTIC MOUNTAINS; RIO-GRANDE RIFT; WEST ANTARCTICA; PETROGENETIC IMPLICATIONS; THINNING BENEATH; LOIHI SEAMOUNT; ROSS OROGENY; GLACIER AREA; SYSTEM; MANTLE</t>
  </si>
  <si>
    <t>The Ellsworth Mountains of West Antarctica represent part of a displaced terrane once situated along the palaeo-Pacific margin of Gondwana, prior to supercontinent break-up, adjacent to South Africa and the Weddell Sea coast of East Antarctica. Middle Cambrian sedimentary rocks of the southern Ellsworth Mountains host locally thick volcanic and subvolcanic rocks forming five igneous centres. Geochemically, most of the igneous samples are mafic, with a subordinate suite of evolved types. The mafic suite is geochemically varied, ranging from MORE (mid-ocean ridge basalt)-like compositions to shoshonitic and lamprophyric (e.g. La-N/Yb-N = 0.95 to 15.2), with epsilon Nd-i values ranging from +5.2 to -2.0, correlating with Ti/Y. They are interpreted as representing melts derived from more than one mantle source, with the MORE-Like rocks being derived from a depleted mantle source, and the more enriched compositions representing partial melting of lithospheric mantle. Silicic rocks contain melt contributions from Late Proterozoic crust, which is inferred to form the basement of the Ellsworth Mountains. We interpret these igneous rocks as having been formed in a continental rift environment, with MORE-like basalts erupted near the lift axis, and melts from lithospheric mantle emplaced on the rift shoulder. Such an interpretation is consistent with the sedimentary host-rock palaeogeography and contemporaneous structures. This Middle Cambrian rift event is correlated spatially and temporally with rift-related sedimentary rocks in South Africa. It is currently unclear what rifted off the southern African-Weddell Sea sector of the Gondwana palaeo-Pacific margin at that time. (C) 1999 Elsevier Science B.V. All rights reserved.</t>
  </si>
  <si>
    <t>British Antarctic Survey, NERC, Cambridge CB3 0ET, England; NERC, Isotope Geosci Lab, Nottingham NG12 5GG, England</t>
  </si>
  <si>
    <t>UK Research &amp; Innovation (UKRI); Natural Environment Research Council (NERC); NERC British Antarctic Survey; UK Research &amp; Innovation (UKRI); Natural Environment Research Council (NERC); NERC British Geological Survey</t>
  </si>
  <si>
    <t>British Antarctic Survey, NERC, High Cross,Madlingley Rd, Cambridge CB3 0ET, England.</t>
  </si>
  <si>
    <t>m.curtis@bas.ac.uk</t>
  </si>
  <si>
    <t>Curtis, Mike/HKV-6176-2023; Millar, Ian L/F-1541-2010</t>
  </si>
  <si>
    <t>1879-3266</t>
  </si>
  <si>
    <t>10.1016/S0040-1951(99)00033-5</t>
  </si>
  <si>
    <t>193PK</t>
  </si>
  <si>
    <t>WOS:000080145100001</t>
  </si>
  <si>
    <t>Rühl, E; Rockland, U; Baumgärtel, H; Lösking, O; Binnewies, M; Willner, H</t>
  </si>
  <si>
    <t>Photoionization mass spectrometry of chlorine oxides</t>
  </si>
  <si>
    <t>INTERNATIONAL JOURNAL OF MASS SPECTROMETRY</t>
  </si>
  <si>
    <t>photoionization mass spectrometry; thermochemistry; autoionization; chlorine oxides</t>
  </si>
  <si>
    <t>GAS-PHASE; STRATOSPHERIC OZONE; VACUUM ULTRAVIOLET; ANTARCTIC VORTEX; PHOTODISSOCIATION; DIOXIDE; DESTRUCTION; IONIZATION; RADICALS; CL2O</t>
  </si>
  <si>
    <t>Photoionization mass spectrometry of four chlorine oxides (Cl(2)O, Cl(2)O(4), Cl(2)O(6,) and Cl(2)O(7)) is reported. Photoionization efficiency curves of parent and fragment ions are measured in the energy regime between 10 and 21 eV using monochromatic synchrotron radiation. Ionization energies (IE) of the chlorine oxides and fragmentation appearance energies (AE) are obtained from photoion yield curves of mass-selected cations. Specifically, we obtain IE(Cl(2)O) = 10.88 +/- 0.02 eV, IE(Cl(2)O(4)) = 11.23 +/- 0.05 eV, IE(Cl(2)O(6)) = 12.66 +/- 0.05 eV, and IE(Cl(2)O(7)) = 12.15 +/- 0.05 eV. The experimental results are used to derive numerous thermochemical stability data of the neutral and ionic chlorine oxides and their fragments, as well as plausible cation fragmentation mechanisms. Resonant excitation with tunable vacuum ultraviolet radiation is applied in the case of Cl(2)O to obtain further insight into autoionization processes. Three series of Rydberg excitations are assigned converging to the (C) over bar((2)A(2)) ionization energy at 12.74 eV. (C) 1999 Elsevier Science B.V.</t>
  </si>
  <si>
    <t>Univ Osnabruck, Fachbereich Phys, D-49069 Osnabruck, Germany; Free Univ Berlin, Inst Theoret &amp; Phys Chem, D-14195 Berlin, Germany; Univ Hannover, Inst Anorgan Chem, D-30167 Hannover, Germany</t>
  </si>
  <si>
    <t>University Osnabruck; Free University of Berlin; Leibniz University Hannover</t>
  </si>
  <si>
    <t>Rühl, E (corresponding author), Univ Osnabruck, Fachbereich Phys, Barbarastr 7, D-49069 Osnabruck, Germany.</t>
  </si>
  <si>
    <t>1387-3806</t>
  </si>
  <si>
    <t>INT J MASS SPECTROM</t>
  </si>
  <si>
    <t>Int. J. Mass Spectrom.</t>
  </si>
  <si>
    <t>APR 29</t>
  </si>
  <si>
    <t>10.1016/S1387-3806(98)14137-4</t>
  </si>
  <si>
    <t>Physics, Atomic, Molecular &amp; Chemical; Spectroscopy</t>
  </si>
  <si>
    <t>Physics; Spectroscopy</t>
  </si>
  <si>
    <t>188PV</t>
  </si>
  <si>
    <t>WOS:000079857900051</t>
  </si>
  <si>
    <t>Slonaker, RL; Van Woert, ML</t>
  </si>
  <si>
    <t>Atmospheric moisture transport across the Southern Ocean via satellite observations</t>
  </si>
  <si>
    <t>WATER-VAPOR TRANSPORT; ANTARCTIC PRECIPITATION; SSM/I; PENINSULA; DATASET; WEST</t>
  </si>
  <si>
    <t>Meridional moisture transport across the Southern Ocean was measured using a combination of TIROS operational vertical sounder and special sensor microwave/imager satellite data from 1988. Satellite and radiosonde estimates of moisture flux compare favorably near Macquarie Island (54.5 degrees S, 158.9 degrees E). The zonally averaged, vertically integrated, moisture flux values across 50 degrees S and 60 degrees S are -31.8 and -15.2 kg m(-1) s(-1) respectively. Resulting moisture convergence for the 50 degrees-60 degrees S latitude band is 636 +/- 50 kg m(-2) yr(-1), about 50% larger than indicated by contemporary studies using radiosondes or atmospheric analyses. Within this latitude band the poleward moisture transport peaks in the South Pacific sector near 135 degrees E, with a secondary maximum in the Amundsen Sea sector close to 135 degrees W. There is a dramatic moisture flux discontinuity across the Antarctic peninsula and the tip of South America near 45 degrees W, with equatorward moisture transport at all latitudes in the Weddell Sea sector. A regional study of West Antarctica indicates large poleward moisture pur is accomplished through the Belingshausen and Amundsen Seas only.</t>
  </si>
  <si>
    <t>NOAA, NESDIS, Off Res &amp; Applicat, UCAR Visiting Sci Program, Camp Springs, MD 20746 USA</t>
  </si>
  <si>
    <t>Raytheon ITSS Corp, 4400 Forbes Blvd, Lanham, MD 20703 USA.</t>
  </si>
  <si>
    <t>fmh@stx.com</t>
  </si>
  <si>
    <t>APR 27</t>
  </si>
  <si>
    <t>D8</t>
  </si>
  <si>
    <t>10.1029/1999JD900045</t>
  </si>
  <si>
    <t>189UY</t>
  </si>
  <si>
    <t>WOS:000079925600009</t>
  </si>
  <si>
    <t>Hicke, J; Tuck, A; Vömel, H</t>
  </si>
  <si>
    <t>Lower stratospheric radiative heating rates and sensitivities calculated from Antarctic balloon observations</t>
  </si>
  <si>
    <t>WATER-VAPOR; ATMOSPHERIC FLUXES; COOLING RATES; POLAR VORTEX; SOUNDER DATA; OZONE HOLE; CLOUDS; MODEL; CIRCULATION; DEHYDRATION</t>
  </si>
  <si>
    <t>Temperature, water vapor, and ozone profiles from balloon soundings at McMurdo Station, Antarctica, during winter 1994 were used to calculate the diabatic heating rate in the lower stratosphere. These three variables represent the necessary inputs to a clear-sky radiative heating rate calculation, Accurate profiles of these variables without recourse to ancillary climatological databases provide a means of testing the importance of realistic water vapor and ozone distributions to the lower stratospheric heating rate. Water vapor at wavelengths greater than 17 mu m contributes as much cooling as CO2 in the lower stratosphere during winter. Dehydration begins in midwinter and causes a decrease in the cooling rate (increase in the heating rate) by 30%. Ozone depletion affects both longwave and shortwave heating rates in the altitude region where the ozone loss occurs. The longwave heating decreases by 0.3 K d(-1) (potential temperature) and is comparable in magnitude to that of the decrease in shortwave heating for a balloon sounding in early October. Significant longwave heating increases of 0.6 K d(-1) also occur above the region of ozone depletion as a result of higher penetration of upwelling radiation emitted by the surface. Sensitivity studies of the impact of tropospheric clouds at McMurdo show that the lower stratospheric heating rates can decrease by 0.08 to 0.26 K d(-1) (vertically averaged) (18 to 60%), depending on the cloud parameterization used. Time series of the calculated heating rate at McMurdo show the effects of dehydration, ozone loss, and the increase of the heating rate (decrease of the cooling rate) as the temperatures decrease and approach radiative equilibrium through the winter.</t>
  </si>
  <si>
    <t>NOAA, Aeron Lab, Boulder, CO 80303 USA; Univ Colorado, Program Atmospher &amp; Ocean Sci, Boulder, CO 80309 USA; NOAA, Climate Monitoring &amp; Diagnost Lab, Boulder, CO 80303 USA</t>
  </si>
  <si>
    <t>National Oceanic Atmospheric Admin (NOAA) - USA; University of Colorado System; University of Colorado Boulder; National Oceanic Atmospheric Admin (NOAA) - USA</t>
  </si>
  <si>
    <t>NOAA, Aeron Lab, 325 Broadway,R-E-AL6, Boulder, CO 80303 USA.</t>
  </si>
  <si>
    <t>jhicke@al.noaa.gov; tuck@al.noaa.gov; hvoemel@al.noaa.gov</t>
  </si>
  <si>
    <t>Hicke, Jeffrey A./M-9677-2013; Tuck, Adrian/F-6024-2011</t>
  </si>
  <si>
    <t>Tuck, Adrian/0000-0002-2074-0538</t>
  </si>
  <si>
    <t>10.1029/1999JD900042</t>
  </si>
  <si>
    <t>WOS:000079925600013</t>
  </si>
  <si>
    <t>Steele, HM; Lumpe, JD; Turco, RP; Bevilacqua, RM; Massie, ST</t>
  </si>
  <si>
    <t>Retrieval of aerosol surface area and volume densities from extinction measurements: Application to POAM II and SAGE II</t>
  </si>
  <si>
    <t>ANTARCTIC STRATOSPHERIC AEROSOLS; PINATUBO AEROSOL; SULFURIC-ACID; POLAR-OZONE; INVERSION ALGORITHM; INFORMATION-CONTENT; SIZE DISTRIBUTIONS; OPTICAL-PROPERTIES; MOUNT-PINATUBO; EL-CHICHON</t>
  </si>
  <si>
    <t>In this paper we evaluate two different methods for determining aerosol surface area and volume densities from multiwavelength extinction measurements and apply them to the Polar Aerosol and Ozone Measurement (POAM II) and Stratospheric Aerosol and Gas Experiment (SAGE II) data. Systematic and random components of the retrieval error are calculated as a function of the size distribution parameters for a unimodal lognormal size distribution using principal component analysis and an empirical formulation based on the 1 mu m extinction measurement. The trade-off between these two components of the error is demonstrated for principal component analysis by varying the degree of constraint. We show how the systematic error can exceed the random error for lognormal size distributions typical of background aerosols. Retrieved surface areas for background aerosols can be underestimated by up to 50% through principal component analysis. Random errors depend on the estimated measurement error at each wavelength but, for the instruments considered, are expected to be 15-25%. Retrieved volume densities for background aerosols are underestimated by up to 30% through principal component analysis and suffer an additional random error component of 10-15%. The empirical formulation leads to altitude dependent systematic errors since the relative error depends on the particle number density. When different techniques are used to obtain aerosol surface area and volume, there is often a greater disagreement between different methods applied to the same data than the same method applied to data recorded by two different instruments. Systematic errors arising from the retrieval methodology should therefore be carefully considered in both validation and aerosol climatology studies.</t>
  </si>
  <si>
    <t>Univ Calif Los Angeles, Dept Atmospher Sci, Los Angeles, CA 90095 USA; Computat Phys Inc, Fairfax, VA 22031 USA; Natl Ctr Atmospher Res, Boulder, CO 80307 USA; USN, Res Lab, Washington, DC 20375 USA</t>
  </si>
  <si>
    <t>University of California System; University of California Los Angeles; National Center Atmospheric Research (NCAR) - USA; United States Department of Defense; United States Navy; Naval Research Laboratory</t>
  </si>
  <si>
    <t>Steele, HM (corresponding author), Ctr Atmospher Sci, Dept Chem, Lensfield Rd, Cambridge CB2 1EW, England.</t>
  </si>
  <si>
    <t>helen.steele@atm.ch.cam.ac.uk</t>
  </si>
  <si>
    <t>10.1029/1999JD900032</t>
  </si>
  <si>
    <t>WOS:000079925600015</t>
  </si>
  <si>
    <t>Timmreck, C; Graf, HF; Kirchner, I</t>
  </si>
  <si>
    <t>A one and half year interactive MA/ECHAM4 simulation of Mount Pinatubo Aerosol</t>
  </si>
  <si>
    <t>GENERAL-CIRCULATION MODEL; MT-PINATUBO; VOLCANIC AEROSOL; OZONE DEPLETION; EL-CHICHON; STRATOSPHERIC CIRCULATION; TEMPERATURE-CHANGES; SIZE DISTRIBUTION; ANTARCTIC OZONE; II MEASUREMENTS</t>
  </si>
  <si>
    <t>The Mount Pinatubo volcanic eruption in June 1991 had significant impact on stratospheric and tropospheric climate and circulation. Enhanced radiative heating caused by the aerosol absorption of solar and terrestrial radiation changed stratospheric temperature and circulation. Using the stratospheric mesospheric version of the Hamburg climate model MA/ECHAM4, we performed an interactive Pinatubo simulation with prognostic stratospheric aerosol. Interactive and noninteractive model results for the years 1991 and 1992 are compared with satellite data and in situ measurements. The on-line calculated heating rates are in good agreement with radiation transfer models indicating maximum heating rates of about 0.3 K/d in October 1991. The dynamic feedback in the MA/ECHAM4 simulation is similar to observations. The model is able to reproduce the strengthening of the polar vortex in winter 1991/1992 and a minor warming in January. The importance of an interactive treatment of the volcanic cloud for the aerosol transport is evidenced by the analysis of effects such as aerosol lifting and meridional transport. In general, the model results agree well with observations from the northern midlatitudes, especially in the first months after the eruption. The MA/ECHAM4 model is successful in reproducing the formation of two distinct maxima in the optical depth but is unable to simulate the persistence of the tropical aerosol reservoir from the end of 1991. Better agreement may be achieved if the influence of the quasi-biennial oscillation and ozone changes is also taken into account.</t>
  </si>
  <si>
    <t>Timmreck, C (corresponding author), Max Planck Inst Meteorol, Bundesstr 55, D-20146 Hamburg, Germany.</t>
  </si>
  <si>
    <t>timmreck@dkrz.de</t>
  </si>
  <si>
    <t>Graf, Hans/GQQ-2206-2022</t>
  </si>
  <si>
    <t>Timmreck, Claudia/0000-0001-5355-0426</t>
  </si>
  <si>
    <t>10.1029/1999JD900088</t>
  </si>
  <si>
    <t>WOS:000079925600016</t>
  </si>
  <si>
    <t>Reader, MC; Fung, I; McFarlane, N</t>
  </si>
  <si>
    <t>The mineral dust aerosol cycle during the Last Glacial Maximum</t>
  </si>
  <si>
    <t>GENERAL-CIRCULATION MODEL; SEA-SURFACE TEMPERATURES; ANTARCTIC ICE CORE; DESERT DUST; DOME-C; CLIMATE; RECORDS; GREENLAND; ATMOSPHERE; ATLANTIC</t>
  </si>
  <si>
    <t>The Canadian Centre for Climate Modelling and Analysis general circulation model (GCM) is used to investigate the factors influencing the mineral dust distribution at the time of the last glacial maximum (LGM). Simulated deposition rates are used in conjunction with existing paleoclimate data to infer likely characteristics of the mineral dust conditions at that time and identify contributions to the pattern of enhanced dustiness of the LGM relative to the present, indicated by ice core and loess data. Maximal consistency between the GCM, the Climate: Long Range Investigation, Mapping and Prediction (CLIMAP) data set, and the ice core data, requires approximately a 15- to 30-fold increase in dust production globally during the last glacial maximum relative to the preindustrial Holocene. In particular, regional 10- to 50-fold and 20-fold LGM increases are indicated in eastern Asia and South America, respectively. These implied source enhancements are quite insensitive to the details of the dust model. Analysis of the contributing factors suggests an increase in fine-particle availability in the source regions.</t>
  </si>
  <si>
    <t>Univ Victoria, Ctr Earth &amp; Ocean Res, Victoria, BC V8W 3P6, Canada; Univ Calif Berkeley, Ctr Atmospher Sci, Berkeley, CA 94720 USA; Canadian Ctr Climate Modelling &amp; Anal, Victoria, BC V8W 2Y2, Canada</t>
  </si>
  <si>
    <t>University of Victoria; University of California System; University of California Berkeley; Environment &amp; Climate Change Canada; Canadian Centre for Climate Modelling &amp; Analysis (CCCma)</t>
  </si>
  <si>
    <t>Reader, MC (corresponding author), Univ Victoria, Ctr Earth &amp; Ocean Res, Victoria, BC V8W 3P6, Canada.</t>
  </si>
  <si>
    <t>10.1029/1999JD900033</t>
  </si>
  <si>
    <t>WOS:000079925600019</t>
  </si>
  <si>
    <t>Kim, SY; Hwang, KY; Kim, SH; Sung, HC; Han, YS; Cho, YJ</t>
  </si>
  <si>
    <t>Structural basis for cold adaptation -: Sequence, biochemical properties, and crystal structure of malate dehydrogenase from a psychrophile Aquaspirillium arcticum</t>
  </si>
  <si>
    <t>JOURNAL OF BIOLOGICAL CHEMISTRY</t>
  </si>
  <si>
    <t>ACTIVE CITRATE SYNTHASE; ESCHERICHIA-COLI; LACTATE-DEHYDROGENASE; ANTARCTIC BACTERIUM; RESOLUTION; ENZYMES; THERMOSTABILITY; PURIFICATION; EXPRESSION; STABILITY</t>
  </si>
  <si>
    <t>Aquaspillium arcticum is a psychrophilic bacterium that was isolated from arctic sediment and grows optimally at 4 degrees C, We have cloned, purified, and characterized malate dehydrogenase from A. arcticum (Aa MDH). We also have determined the crystal structures of apo-Aa MDH, Aa MDH.NADH binary complex, and Aa MDH.NAD.oxaloacetate ternary complex at 1.9-, 2.1-, and 2.5-Angstrom resolutions, respectively. The Aa MDH sequence is most closely related to the sequence of a thermophilic MDH from Thermus flavus (Tf MDH), showing 61% sequence identity and over 90% sequence similarity. Stability studies show that Aa MDH has a half-life of 10 min at 55 degrees C, whereas Tf MDH is fully active at 90 degrees C for 1 h. Aa MDH shows 2-3-fold higher catalytic efficiency compared with a mesophilic or a thermophilic MDH at the temperature range 4-10 degrees C. Structural comparison of Aa MDH and Tf MDH suggests that the increased relative flexibility of active site residues, favorable surface charge distribution for substrate and cofactor, and the reduced intersubunit ion pair interactions may be the major factors for the efficient catalytic activity of Aa MDH at low temperatures.</t>
  </si>
  <si>
    <t>Korea Inst Sci &amp; Technol, Struct Biol Ctr, Seoul 130650, South Korea; Korea Univ, Dept Biotechnol, Seoul, South Korea; Univ Calif Berkeley, Dept Chem, Berkeley, CA 94720 USA; Univ Calif Berkeley, Lawrence Berkeley Lab, Berkeley, CA 94720 USA</t>
  </si>
  <si>
    <t>Korea Institute of Science &amp; Technology (KIST); Korea University; University of California System; University of California Berkeley; United States Department of Energy (DOE); Lawrence Berkeley National Laboratory; University of California System; University of California Berkeley</t>
  </si>
  <si>
    <t>Cho, YJ (corresponding author), Korea Inst Sci &amp; Technol, Struct Biol Ctr, POB 131, Seoul 130650, South Korea.</t>
  </si>
  <si>
    <t>AMER SOC BIOCHEMISTRY MOLECULAR BIOLOGY INC</t>
  </si>
  <si>
    <t>0021-9258</t>
  </si>
  <si>
    <t>J BIOL CHEM</t>
  </si>
  <si>
    <t>J. Biol. Chem.</t>
  </si>
  <si>
    <t>APR 23</t>
  </si>
  <si>
    <t>10.1074/jbc.274.17.11761</t>
  </si>
  <si>
    <t>188EX</t>
  </si>
  <si>
    <t>WOS:000079834800048</t>
  </si>
  <si>
    <t>Santee, ML; Manney, GL; Froidevaux, L; Read, WG; Water, JW</t>
  </si>
  <si>
    <t>Six years of UARS Microwave Limb Sounder HNO3 observations:: Seasonal, interhemispheric, and interannual variations in the lower stratosphere</t>
  </si>
  <si>
    <t>WAVE SPECTROSCOPIC MEASUREMENTS; ATMOSPHERE RESEARCH SATELLITE; ARCTIC WINTER STRATOSPHERE; NITRIC-ACID CHEMISTRY; POLAR VORTEX; OZONE DEPLETION; AIRBORNE MEASUREMENTS; SOUTH-POLE; LATITUDINAL VARIATION; PINATUBO AEROSOLS</t>
  </si>
  <si>
    <t>We present an overview of the seasonal, interhemispheric, and interannual variations in the distribution of HNO3 in the lower stratosphere based on measurements of gas-phase HNO3 made by the UARS Microwave Limb Sounder (MLS) through six complete annual cycles in both hemispheres, Outside of the winter polar regions, zonal-mean HNO3 mixing ratios on the 465-K potential temperature surface are comparable in the two hemispheres in all latitude bands and in all years examined. Except at high latitudes, interannual variability is minimal, and there is no significant hemispheric asymmetry in the overall HNO3 distribution or its seasonal cycle. Although the Antarctic experiences widespread severe denitrification, the MLS data indicate that the denitrification is not complete; that is, not all polar stratospheric cloud (PSC) particles sediment out of the lower stratosphere. Replenishment of HNO3 at 465 K during the mid- to late-winter period (when temperatures, though still low, are generally rising) is most likely achieved through a combination of PSC evaporation and continuing weak diabatic descent. Despite large interhemispheric and interannual differences in the extent and duration of PSC activity and denitrification, HNO3 recovers to similar values at the end of every winter in both the Arctic and the Antarctic. Zonal-mean HNO3 values for the two hemispheres are virtually indistinguishable for the latitudes equatorward of 65 degrees, even during the winter months, Thus the effects of severe denitrification are confined in both space and time to the regions poleward of 65 degrees S during the winter and early spring.</t>
  </si>
  <si>
    <t>California Institute of Technology; National Aeronautics &amp; Space Administration (NASA); NASA Jet Propulsion Laboratory (JPL)</t>
  </si>
  <si>
    <t>CALTECH, Jet Prop Lab, 4800 Oak Grove Dr, Pasadena, CA 91109 USA.</t>
  </si>
  <si>
    <t>Manney, Gloria/JED-7207-2023; Santee, MIchelle/R-5762-2019; read, william/AAL-1895-2021</t>
  </si>
  <si>
    <t>APR 20</t>
  </si>
  <si>
    <t>D7</t>
  </si>
  <si>
    <t>10.1029/1998JD100089</t>
  </si>
  <si>
    <t>187NV</t>
  </si>
  <si>
    <t>WOS:000079793600016</t>
  </si>
  <si>
    <t>Brierley, A; Reid, K</t>
  </si>
  <si>
    <t>Kingdom of the krill - The boom and bust cycle of a tiny crustacean holds the key to the health of the Southern Ocean</t>
  </si>
  <si>
    <t>NEW SCIENTIST</t>
  </si>
  <si>
    <t>British Antarctic Survey, Marine Life Sci Div, Pelag Ecosyst Grp, Cambridge, England; British Antarctic Survey, Marine Life Sci Div, High Predator Study Grp, Cambridge, England</t>
  </si>
  <si>
    <t>UK Research &amp; Innovation (UKRI); Natural Environment Research Council (NERC); NERC British Antarctic Survey; UK Research &amp; Innovation (UKRI); Natural Environment Research Council (NERC); NERC British Antarctic Survey</t>
  </si>
  <si>
    <t>Brierley, A (corresponding author), British Antarctic Survey, Marine Life Sci Div, Pelag Ecosyst Grp, Cambridge, England.</t>
  </si>
  <si>
    <t>NEW SCIENTIST PUBL EXPEDITING INC</t>
  </si>
  <si>
    <t>ELMONT</t>
  </si>
  <si>
    <t>200 MEACHAM AVE, ELMONT, NY 11003 USA</t>
  </si>
  <si>
    <t>0262-4079</t>
  </si>
  <si>
    <t>NEW SCI</t>
  </si>
  <si>
    <t>New Sci.</t>
  </si>
  <si>
    <t>APR 17</t>
  </si>
  <si>
    <t>187RZ</t>
  </si>
  <si>
    <t>WOS:000079802900031</t>
  </si>
  <si>
    <t>Mazzarella, L; D'Avino, R; di Prisco, G; Savino, C; Vitagliano, L; Moody, PCE; Zagari, A</t>
  </si>
  <si>
    <t>Crystal structure of Trematomus newnesi haemoglobin re-opens the Root effect question</t>
  </si>
  <si>
    <t>JOURNAL OF MOLECULAR BIOLOGY</t>
  </si>
  <si>
    <t>X-ray structure; haemoglobin; root effect; Antarctic fish; Trematomus newnesi</t>
  </si>
  <si>
    <t>FISH PAGOTHENIA-BERNACCHII; HEMOGLOBIN; STEREOCHEMISTRY; GRAPHICS; BINDING; PROGRAM</t>
  </si>
  <si>
    <t>As new structural data have become available, somewhat contrasting explanations of the Root effect in fish haemoglobins (Hb) have been provided. Hb 1 of the Antarctic fish Trematomus newnesi has a nearly pH-independent oxygen affinity, in spite of 95 % sequence identity with Hb 1 of Trematomus (previously named Pagothenia) bernacchii that has a strong Root effect. Here, the 2.2 Angstrom R-state structure of Trematomus newnesi Ho 1 is presented. The structure is similar to that of Root effect fish Kbs from Spot and T. bernacchii, suggesting that the differences in the pH dependence cannot be related to the modulation of the R-state. In comparison to T, bernacchii Hb 1, the role of the three mutations Thr41 (C6)alpha --&gt; Ile, Ala97 (G3)alpha --&gt; Ser and His41 (C7)beta --&gt; Tyr at the alpha(1)beta(2)-interface is discussed. (C) 1999 Academic Press.</t>
  </si>
  <si>
    <t>Univ Naples Federico II, CNR, Ctr Studio Biocristallog, I-80134 Naples, Italy; Univ Naples Federico II, Dipartimento Chim, I-80134 Naples, Italy; CNR, Ist biochim Prot &amp; Enzimol, I-80125 Naples, Italy; Univ Leicester, Dept Biochem, Leicester LE1 7RH, Leics, England</t>
  </si>
  <si>
    <t>Consiglio Nazionale delle Ricerche (CNR); University of Naples Federico II; University of Naples Federico II; Consiglio Nazionale delle Ricerche (CNR); Istituto di Biochimica delle Proteine (IBP-CNR); University of Leicester</t>
  </si>
  <si>
    <t>Mazzarella, L (corresponding author), Univ Naples Federico II, CNR, Ctr Studio Biocristallog, Mezzocannone 4, I-80134 Naples, Italy.</t>
  </si>
  <si>
    <t>Savino, Carmelinda/HOH-4466-2023; Moody, Peter/A-6832-2008</t>
  </si>
  <si>
    <t>Moody, Peter/0000-0003-1762-9238; SAVINO, CARMELINDA/0000-0002-1602-4838</t>
  </si>
  <si>
    <t>0022-2836</t>
  </si>
  <si>
    <t>J MOL BIOL</t>
  </si>
  <si>
    <t>J. Mol. Biol.</t>
  </si>
  <si>
    <t>APR 16</t>
  </si>
  <si>
    <t>10.1006/jmbi.1999.2632</t>
  </si>
  <si>
    <t>187WV</t>
  </si>
  <si>
    <t>WOS:000079812000009</t>
  </si>
  <si>
    <t>Schäfer, JM; Ivy-Ochs, S; Wieler, R; Leya, J; Baur, H; Denton, GH; Schlüchter, C</t>
  </si>
  <si>
    <t>Cosmogenic noble gas studies in the oldest landscape on earth:: surface exposure ages of the Dry Valleys, Antarctica</t>
  </si>
  <si>
    <t>cosmogenic elements; noble gases; absolute ages; Ne-21; landform evolution; Dry Valleys; Antarctica</t>
  </si>
  <si>
    <t>TRANSANTARCTIC MOUNTAINS; PRODUCTION-RATES; SIRIUS GROUP; NUCLIDES; NEON; METEOROIDS; EVOLUTION; QUARTZ; NE-21; HE-3</t>
  </si>
  <si>
    <t>Extraordinarily high surface exposure ages have been determined for Sirius Group tillites of Mt. Fleming and Mt, Feather as well as at localities in the Inner Dry Valleys using cosmogenic helium and neon, Ages of 10 Ma at Mt. Flaming, 5.3 Ma at Mt. Feather and 6.5 Ma at Insel Mountain are among the highest nominal exposure ages published so far. These values ape minimal ages as they are based on the assumption of zero erasion and uplift. The Mt. Feather sample independently confirms the pre-Pliocene age of the Sirius Group sediments in the Dry Valleys as previously determined at Mt. Fleming. The Insel Mountain samples provide evidence for a landscape formation of the Inner Dry Valleys not later than Late Miocene time. Assuming conservatively low values of 2.5 cm Ma(-1) for erosion rate and 50 m Ma(-1) for uplift rate we infer that the Sirius Group tillites at Mt. Fleming were deposited earlier than 20 Ma ago. This indicates that the overriding of the Dry Valleys block of the Transantarctic Mountains by the East Antarctic Ice Sheet occurred not later than the Early Miocene. Maximum long-term erosion rates in the Inner Dry Valleys must be &lt;15 cm Ma(-1) down to altitudes &lt;1000 m Since such low erosion rates require permanently cold and hyperarid conditions, the response of Antarctica to the Pliocene warm climatic episode must have been small. Cosmogenic nuclide data from both the Inner Dry Valleys and the Sirius Group sediment localities support the hypothesis of a stable East Antarctic Ice Sheet since at least Late Miocene time, implying that the climate of Antarctica was decoupled from that of lower southern latitudes. We present also new elemental Ne-21 production rates of P-21(Mg) = 196 atoms g(-1) yr(-1) and P-21(Al) = 55 atoms, g(-1) yr(-1) at sea level and high geomagnetic latitude. These figures are consistent with a He-3 production rare of P-3 = 110 atoms g(-1) yr(-1), similar to previously published values. This consistency provides evidence that pyroxene is retentive for both helium and neon over at least 10 Ma. Cosmogenic Ne in quartz and pyroxene has a (Ne-22/Ne-21)(cos) ratio of 1.266 +/- 0.040 and 1.159 +/- 0.040, respectively. (C) 1999 Elsevier Science B.V All rights reserved.</t>
  </si>
  <si>
    <t>Swiss Fed Inst Technol, ETH Zentrum NO, Isotope Geochem &amp; Mineral Resources, CH-8092 Zurich, Switzerland; Univ Bern, Inst Geol, CH-3012 Bern, Switzerland; Univ Maine, Dept Geol Sci, Orono, ME 04469 USA; Univ Maine, Inst Quaternary Studies, Orono, ME 04469 USA</t>
  </si>
  <si>
    <t>Swiss Federal Institutes of Technology Domain; ETH Zurich; University of Bern; University of Maine System; University of Maine Orono; University of Maine System; University of Maine Orono</t>
  </si>
  <si>
    <t>Swiss Fed Inst Technol, ETH Zentrum NO, Isotope Geochem &amp; Mineral Resources, Sonneggstr 5, CH-8092 Zurich, Switzerland.</t>
  </si>
  <si>
    <t>schaefer@erdw.ethz.ch</t>
  </si>
  <si>
    <t>Wieler, Rainer/A-1355-2010</t>
  </si>
  <si>
    <t>Leya, Ingo/0000-0002-3843-6681; Wieler, Rainer/0000-0001-5666-7494</t>
  </si>
  <si>
    <t>APR 15</t>
  </si>
  <si>
    <t>10.1016/S0012-821X(99)00029-1</t>
  </si>
  <si>
    <t>183FE</t>
  </si>
  <si>
    <t>WOS:000079542900008</t>
  </si>
  <si>
    <t>Jagtap, P; Ray, MK</t>
  </si>
  <si>
    <t>Studies on the cytoplasmic protein tyrosine kinase activity of the Antarctic psychrotrophic bacterium Pseudomonas syringae</t>
  </si>
  <si>
    <t>FEMS MICROBIOLOGY LETTERS</t>
  </si>
  <si>
    <t>Antarctic psychrotroph; Pseudomonas syringae; protein tyrosine kinase activity</t>
  </si>
  <si>
    <t>ESCHERICHIA-COLI; PHOSPHORYLATION; MEMBRANE; VANADATE; FAMILY; IDENTIFICATION; TEMPERATURE; INHIBITOR; PHOSPHATE; DOMAIN</t>
  </si>
  <si>
    <t>The Antarctic psychrotrophic bacterium Pseudomonas syringae contains a 66-kDa cytoplasmic protein which was found to be phosphorylated on a tyrosine residue [Ray, M.K. et al. (1994) FEMS Microbiol. Lett. 122, pp. 49-54]. To investigate the nature of the cytoplasmic protein tyrosine kinase and its role in the bacterial physiology, we carried out some biochemical studies of the enzyme in vitro in the presence of exogenous peptide substrates and expression studies in vivo at low and high temperature during various phases of growth. The results suggest that the protein tyrosine kinase associated with the cytoplasmic fraction of the bacterium has certain similarities and dissimilarities with the known eukaryotic tyrosine kinases. The protein tyrosine kinase could phosphorylate exogenous substrate corresponding to the N-terminal peptide of p34(cdc2) kinase but could not do so on poly(Glu:Tyr). The enzyme could not be inhibited by genistein, staurosporine and dimethyl aminopurine, but could be inhibited by piceatannol which is a known competitive inhibitor of the peptide binding site of mammalian protein tyrosine kinases. The enzyme activity in the cytoplasm is uniquely inhibited by sodium orthovanadate (IC50 = 20 mu M) which is a known protein tyrosine phosphatase inhibitor. The expression studies show that the enzyme is produced more at a higher temperature (22 degrees C) of growth than at lower temperature (4 degrees C) and during the stationary phase of growth of P. syringae. (C) 1999 Federation of European Microbiological Societies. Published by Elsevier Science B.V. All rights reserved.</t>
  </si>
  <si>
    <t>Ray, MK (corresponding author), Ctr Cellular &amp; Mol Biol, Uppal Rd, Hyderabad 500007, Andhra Pradesh, India.</t>
  </si>
  <si>
    <t>Jagtap, Pratik/0000-0003-0984-0973</t>
  </si>
  <si>
    <t>0378-1097</t>
  </si>
  <si>
    <t>1574-6968</t>
  </si>
  <si>
    <t>FEMS MICROBIOL LETT</t>
  </si>
  <si>
    <t>FEMS Microbiol. Lett.</t>
  </si>
  <si>
    <t>10.1016/S0378-1097(99)00105-6</t>
  </si>
  <si>
    <t>184YF</t>
  </si>
  <si>
    <t>WOS:000079640800016</t>
  </si>
  <si>
    <t>Fichefet, T; Goosse, H</t>
  </si>
  <si>
    <t>A numerical investigation of the spring Ross Sea polynya</t>
  </si>
  <si>
    <t>ANTARCTIC BOTTOM WATER; ICE; OCEAN; MODEL; SHELF</t>
  </si>
  <si>
    <t>In November and December, a polynya (area of reduced ice concentration surrounded by heavy pack ice) usually develops on the western Ross Sea continental shelf immediately north of the Ross Ice Shelf. This important regional feature is reasonably well simulated by the Universite Catholique de Louvain (UCL) global ice-ocean model, despite its coarse resolution. The model results suggest that both the wind-induced divergence of the sea ice and the inflow of relatively warm Circumpolar Deep Water (CDW) onto the continental shelf are essential for the polynya formation, which supports the inference drawn from observational data.</t>
  </si>
  <si>
    <t>Fichefet, T (corresponding author), Univ Catholique Louvain, Inst Astron &amp; Geophys G Lemaitre, B-1348 Louvain, Belgium.</t>
  </si>
  <si>
    <t>10.1029/1999GL900159</t>
  </si>
  <si>
    <t>187NW</t>
  </si>
  <si>
    <t>WOS:000079793700003</t>
  </si>
  <si>
    <t>Chun, FK; Knipp, DJ; McHarg, MG; Lu, G; Emery, BA; Vennerstrom, S; Troshichev, OA</t>
  </si>
  <si>
    <t>Polar cap index as a proxy for hemispheric Joule heating</t>
  </si>
  <si>
    <t>HIGH-LATITUDE THERMOSPHERE; AE; PC; IONOSPHERE; AL; AU</t>
  </si>
  <si>
    <t>The polar cap (PC) index measures the level of geomagnetic activity in the polar cap based on magnetic perturbations from overhead ionospheric currents and distant field-aligned currents on the poleward edge of the nightside auroral oval. Because PC essentially measures the main sources of energy input into the polar cap, we propose to use PC as a proxy for the hemispheric Joule heat production rate (JH). In this study, JH is estimated from the Assimilative Mapping of Ionospheric Electrodynamics (AMIE) procedure. We fit hourly PC values to hourly averages of JH. Using a data base approximately three times larger than studies, we find a quadratic relationship between JH and PC, differentiated by season. A comparison during the November 1993 storm interval with earlier reported methods using the AE index and the cross polar cap potential, shows that the PC-based Joule heating estimate is as equally accurate. Thus the single station PC index appears to provide a quick estimate of, and is an appropriate proxy for, the hemispheric Joule heating rate.</t>
  </si>
  <si>
    <t>USAF Acad, Dept Phys, Colorado Springs, CO 80840 USA; Natl Ctr Atmospher Res, High Altitude Observ, Boulder, CO 80307 USA; Danish Space Res Inst, DK-2100 Copenhagen, Denmark; Arctic &amp; Antarctic Res Inst, St Petersburg 199397, Russia</t>
  </si>
  <si>
    <t>United States Department of Defense; United States Air Force; United States Air Force Academy; National Center Atmospheric Research (NCAR) - USA; Technical University of Denmark; Arctic &amp; Antarctic Research Institute</t>
  </si>
  <si>
    <t>Chun, FK (corresponding author), USAF Acad, Dept Phys, 2354 Fairchild Dr,Suite 2A31, Colorado Springs, CO 80840 USA.</t>
  </si>
  <si>
    <t>Lu, Gang/A-6669-2011</t>
  </si>
  <si>
    <t>KNIPP, DELORES/0000-0002-2047-5754; Vennerstrom, Susanne/0000-0001-8921-4002</t>
  </si>
  <si>
    <t>10.1029/1999GL900196</t>
  </si>
  <si>
    <t>WOS:000079793700025</t>
  </si>
  <si>
    <t>Jordan, RE; Andreas, EL; Makshtas, AP</t>
  </si>
  <si>
    <t>Heat budget of snow-covered sea ice at North Pole 4</t>
  </si>
  <si>
    <t>SURFACE-ENERGY BALANCE; THRESHOLD WIND-SPEEDS; PROFILE RELATIONSHIPS; DRAG COEFFICIENTS; SCALAR ROUGHNESS; BOUNDARY-LAYER; WEDDELL SEA; PACK ICE; MODEL; VALIDATION</t>
  </si>
  <si>
    <t>The Russian drifting station North Pole 4 (NP-4) was within 5 degrees latitude of the North Pole from April 1956 to April 1957. We use a wide-ranging set of snow and meteorological data collected at 3-hourly intervals on NP-4 during this period to investigate energy and mass transfer in the snow, sea ice, and atmospheric surface layer in the central Arctic. SNTHERM, a one-dimensional energy and mass balance model, synthesizes these diverse NP-4 data and thereby yields energetically consistent time series of the components of the surface heat budget. To parameterize the sensible heat flux during extremely stable stratification, we replace the usual log-linear stability function with the Dutch formulation and introduce a windless coefficient in the bulk parameterization. This coefficient provides sensible heat transfer at the surface, even when the mean wind speed is near zero, and thereby prevents the surface temperature from falling to unrealistically low values, a common modeling problem when the stratification is very stable. Several other modifications to SNTHERM introduce procedures for creating a realistic snowpack that has continuously variable density and is subject to erosion and wind packing. The NP-4 data provide for two distinct simulations: one on 2-year ice and one on multiyear ice. We validate our modeling by comparing simulated and observed temperatures at various depths in the snow and sea ice. Simulations for both sites show the same tendencies. During the summer, the shortwave radiation is the main term in the surface heat budget. Shortwave radiation also penetrates into the snow and causes a subsurface temperature maximum that both the data and the model capture. During the winter, the net longwave balance is the main term in the surface heat budget. The snow and sea ice cool in response to longwave losses, but the flux of sensible heat from the air to the surface mitigates these losses and is thus nearly a mirror image of the emitted longwave flux.</t>
  </si>
  <si>
    <t>rjordan@crrel.usace.army.mil</t>
  </si>
  <si>
    <t>C4</t>
  </si>
  <si>
    <t>10.1029/1999JC900011</t>
  </si>
  <si>
    <t>187KA</t>
  </si>
  <si>
    <t>WOS:000079784700013</t>
  </si>
  <si>
    <t>Newyear, K; Martin, S</t>
  </si>
  <si>
    <t>Comparison of laboratory data with a viscous two-model of wave propagation in grease ice</t>
  </si>
  <si>
    <t>SEA ICE; ATTENUATION; FIELD; ZONE</t>
  </si>
  <si>
    <t>We compare laboratory measurements of wave propagation and attenuation in grease ice with two viscous fluid models. The first is the classic infinite depth, constant viscosity one-layer model. The second is a new finite depth two-layer model developed by Keller in which the upper layer (grease ice) is a constant viscosity, immiscible fluid overlying a denser but inviscid lower layer (seawater). In our comparison of these models with the laboratory results, we use the viscosity nu as a free parameter and search for that nu which gives a best fit to the data. The results of this calculation show that the two-layer model, with a grease ice viscosity 2 - 3 x 10(4) that of seawater, provides the best agreement of data with theory. Because the 0.1 m thickness of our laboratory grease ice is comparable to thicknesses observed in the polar oceans, the Keller model with this viscosity value should be directly applicable to the field interaction of waves and grease ice.</t>
  </si>
  <si>
    <t>Univ Washington, Sch Oceanog, Seattle, WA 98195 USA</t>
  </si>
  <si>
    <t>Antarctic Support Assoc, 61 Inverness Dr E,Suite 300, Englewood, CO 80112 USA.</t>
  </si>
  <si>
    <t>newyeaka@asa.org; scelye@ocean.washington.edu</t>
  </si>
  <si>
    <t>10.1029/1999JC900002</t>
  </si>
  <si>
    <t>WOS:000079784700016</t>
  </si>
  <si>
    <t>Capasso, C; Lees, WE; Capasso, A; Scudiero, R; Carginale, V; Kille, P; Kay, J; Parisi, E</t>
  </si>
  <si>
    <t>Cathepsin D from the liver of the Antarctic icefish Chionodraco hamatus exhibits unusual activity and stability at high temperatures</t>
  </si>
  <si>
    <t>BIOCHIMICA ET BIOPHYSICA ACTA-PROTEIN STRUCTURE AND MOLECULAR ENZYMOLOGY</t>
  </si>
  <si>
    <t>cathepsin D; aspartic proteinase; Antarctic fish; icefish</t>
  </si>
  <si>
    <t>X-RAY ANALYSES; ASPARTIC PROTEINASES; 3-DIMENSIONAL STRUCTURE; PLASMODIUM-FALCIPARUM; CRYSTAL-STRUCTURES; RESOLUTION; EVOLUTION; SEQUENCE; PURIFICATION; EXPRESSION</t>
  </si>
  <si>
    <t>Cathepsin D was purified to homogeneity from the liver of Antarctic icefish by anion-exchange chromatography followed by affinity chromatography on concanavalin-A Sepharose. The purified enzyme showed a molecular mass of 40 kDa and displayed optimal activity at pH 3.0 with a synthetic chromogenic substrate. The N-terminal sequence of this proteinase was determined by automated Edman degradation and was used to design a primer for use in reverse-transcriptase polymerase chain reaction. The open reading frame of the cloned cDNA encoded an aspartic proteinase, which contained the experimentally determined N-terminal sequence. The predicted sequence (396 residues) had a high similarity with those of cathepsin D from various vertebrate sources, but was considerably different from that of nothepsin, a distinct aspartic proteinase described previously from Antarctic fish [1]. Determination of kinetic parameters for substrate hydrolysis showed that, at temperatures between 8 and 50 degrees C, the icefish cathepsin D had a higher specificity constant (k(cat)/K-m) than human cathepsin D. The stability of both enzymes was measured at 50 degrees C and half-lives of 55 and 3 min were derived for icefish and human cathepsin D, respectively. (C) 1999 Elsevier Science B.V. All rights reserved.</t>
  </si>
  <si>
    <t>CNR, Inst Prot Biochem &amp; Enzymol, I-80125 Naples, Italy; Univ Naples Federico II, Dept Evolutionary &amp; Comparat Biol, I-80134 Naples, Italy; Cardiff Univ, Sch Biosci, Cardiff, S Glam, Wales</t>
  </si>
  <si>
    <t>Consiglio Nazionale delle Ricerche (CNR); Istituto di Biochimica delle Proteine (IBP-CNR); University of Naples Federico II; Cardiff University</t>
  </si>
  <si>
    <t>CNR, Inst Prot Biochem &amp; Enzymol, Via Marconi 10, I-80125 Naples, Italy.</t>
  </si>
  <si>
    <t>parisi@dafne.ibpe.na.cnr.it</t>
  </si>
  <si>
    <t>Scudiero, Rosaria/AAI-2119-2020; Kille, Peter/A-4337-2010; Carginale, Vincenzo/N-2531-2014; CAPASSO, CLEMENTE/P-3522-2016</t>
  </si>
  <si>
    <t>Kille, Peter/0000-0001-6023-5221; Carginale, Vincenzo/0000-0002-1842-494X; CAPASSO, CLEMENTE/0000-0003-3314-2411; Scudiero, Rosaria/0000-0002-8186-9722</t>
  </si>
  <si>
    <t>0167-4838</t>
  </si>
  <si>
    <t>BBA-PROTEIN STRUCT M</t>
  </si>
  <si>
    <t>Biochim. Biophys. Acta-Protein Struct. Molec. Enzym.</t>
  </si>
  <si>
    <t>APR 12</t>
  </si>
  <si>
    <t>10.1016/S0167-4838(99)00039-4</t>
  </si>
  <si>
    <t>190GL</t>
  </si>
  <si>
    <t>WOS:000079954400008</t>
  </si>
  <si>
    <t>Crowley, JN; Saueressig, G; Bergamaschi, P; Fischer, H; Harris, GW</t>
  </si>
  <si>
    <t>Carbon kinetic isotope effect in the reaction CH4+Cl:: a relative rate study using FTIR spectroscopy</t>
  </si>
  <si>
    <t>LOWER ANTARCTIC STRATOSPHERE; LARGE (CO)-C-13 DEFICIT; OZONE HOLE CHEMISTRY; ATMOSPHERIC METHANE; ANTHROPOGENIC SOURCES; DEUTERIUM; OH; CL</t>
  </si>
  <si>
    <t>The C-12/C-13 kinetic isotope effect in the reaction of methane with chlorine atoms (KIECl12C/13C) was investigated at 298 K using photolysis of static Cl-2/CH4/N-2 miutures, with in-situ analysis of isotopic composition by FTIR absorption spectroscopy. Least squares fitting of composite (CH4)-C-12/(CH4)-C-13 spectra to reference spectra obtained at the same temperature, pressure and resolution enabled the relative (CH4)-C-12:(CH4)-C-13 content to be measured at a high precision. The result obtained was KIECl12C/13C (298 K) = 1.066 +/- 0.002 (2 sigma), in excellent agreement with the single previous experimental determination at this temperature. This result confirms the unexpectedly high fractionation in the title reaction. (C) 1999 Elsevier Science B.V. All rights reserved.</t>
  </si>
  <si>
    <t>Max Planck Inst Chem, Div Atmospher Chem, D-55020 Mainz, Germany; York Univ, Ctr Atmospher Chem, N York, ON, Canada; York Univ, Dept Chem, N York, ON M3J 1P3, Canada</t>
  </si>
  <si>
    <t>Max Planck Society; York University - Canada; York University - Canada</t>
  </si>
  <si>
    <t>Crowley, JN (corresponding author), Max Planck Inst Chem, Div Atmospher Chem, Postfach 3060, D-55020 Mainz, Germany.</t>
  </si>
  <si>
    <t>APR 9</t>
  </si>
  <si>
    <t>10.1016/S0009-2614(99)00243-2</t>
  </si>
  <si>
    <t>189JE</t>
  </si>
  <si>
    <t>WOS:000079900700003</t>
  </si>
  <si>
    <t>Feller, G; d'Amico, D; Gerday, C</t>
  </si>
  <si>
    <t>Thermodynamic stability of a cold-active α-amylase from the Antarctic bacterium Alteromonas haloplanctis</t>
  </si>
  <si>
    <t>BIOCHEMISTRY</t>
  </si>
  <si>
    <t>DIFFERENTIAL SCANNING CALORIMETRY; IRREVERSIBLE THERMAL-DENATURATION; MALTOSE-BINDING PROTEIN; ANGSTROM RESOLUTION; CONFORMATIONAL FLEXIBILITY; TEMPERATURE ADAPTATION; ASPERGILLUS-ORYZAE; CALCIUM-BINDING; FREE-ENERGY; ENZYMES</t>
  </si>
  <si>
    <t>The thermal stability of the cold-active alpha-amylase (AHA) secreted by the Antarctic bacterium Alteromonas haloplanctis has been investigated by intrinsic fluorescence, circular dichroism, and differential scanning calorimetry. It was found that this heat-labile enzyme is the largest known multidomain protein exhibiting a reversible two-state unfolding, as demonstrated by the recovery of Delta H-cal values after consecutive calorimetric transitions, a Delta H-cal/Delta H-eff ratio close to unity, and the independence of unfolding thermodynamic parameters of scan rates. By contrast, the mesophilic alpha-amylases investigated here (from porcine pancreas, human salivary glands, yellow meal beetle, Bacillus amyloliquefaciens, and Bacillus licheniformis) unfold irreversibly according to a non-two-state mechanism, Unlike mesophilic alpha-amylases, the melting point of AHA is independent of calcium and chloride binding while the allosteric and structural functions of these ions are conserved. The thermostability of AHA at optimal conditions is characterized by a T-m of 43.7 degrees C, a Delta H-cal of 238 kcal mol(-1), and a Delta C-p of 8.47 kcal mol(-1) K-1. These values were used to calculate the Gibbs free energy of unfolding over a wide range of temperatures. This stability curve shows that (a) the specific Delta G(max) of AHA [22 cal (mol of residue)(-1)] is 4 times lower than that of mesophilic alpha-amylases, (b) group hydration plays a crucial role in the enzyme flexibility at low temperatures, (c) the temperature of cold unfolding closely corresponds to the lower limit of bacterial growth, and (d) the recombinant heat-labile enzyme can be expressed in mesophilic hosts at moderate temperatures. It is also argued that the cold-active alpha-amylase has evolved toward the lowest possible conformational stability of its native state.</t>
  </si>
  <si>
    <t>gfeller@ulg.ac.be</t>
  </si>
  <si>
    <t>0006-2960</t>
  </si>
  <si>
    <t>BIOCHEMISTRY-US</t>
  </si>
  <si>
    <t>Biochemistry</t>
  </si>
  <si>
    <t>APR 6</t>
  </si>
  <si>
    <t>10.1021/bi982650+</t>
  </si>
  <si>
    <t>188EP</t>
  </si>
  <si>
    <t>WOS:000079834100043</t>
  </si>
  <si>
    <t>Bartsch, I</t>
  </si>
  <si>
    <t>Halacariidae (Acari) from Rottnest Island:: Description of two Agaue species</t>
  </si>
  <si>
    <t>ACAROLOGIA</t>
  </si>
  <si>
    <t>Westen Australia; Agaue new species; description; biogeography</t>
  </si>
  <si>
    <t>Two species of Agaue, A. scita n. sp. and A. subglabra n. sp., are described. Agaue scita is closely related to the Antarctic A. agauoides, and A. subglabra is most similar to the eastern African species A. hypertrophica.</t>
  </si>
  <si>
    <t>Biol Anstalt Helgoland, D-22607 Hamburg, Germany</t>
  </si>
  <si>
    <t>Bartsch, I (corresponding author), Biol Anstalt Helgoland, Notkestr 31, D-22607 Hamburg, Germany.</t>
  </si>
  <si>
    <t>bartsch@meeresforschung.de</t>
  </si>
  <si>
    <t>ACAROLOGIA-UNIVERSITE PAUL VALERY</t>
  </si>
  <si>
    <t>MONTPELLIER</t>
  </si>
  <si>
    <t>SERVICES PUBLICATIONS, 17 REU ABBE DE L EPEE, 34090 MONTPELLIER, FRANCE</t>
  </si>
  <si>
    <t>0044-586X</t>
  </si>
  <si>
    <t>Acarologia</t>
  </si>
  <si>
    <t>APR</t>
  </si>
  <si>
    <t>Entomology</t>
  </si>
  <si>
    <t>294EB</t>
  </si>
  <si>
    <t>WOS:000085897400011</t>
  </si>
  <si>
    <t>Lugg, D; Shepanek, M</t>
  </si>
  <si>
    <t>Space analogue studies in Antarctica</t>
  </si>
  <si>
    <t>ACTA ASTRONAUTICA</t>
  </si>
  <si>
    <t>CELL-MEDIATED-IMMUNITY</t>
  </si>
  <si>
    <t>Medical research has been carried out on the Australian National Antarctic Research Expeditions (ANARE) for 50 years. As an extension of this program collaborative Australian/United States research on immunology, microbiology, psychology and remote medicine has produced important data and insight on how humans adapt to the stress of extreme isolation, confinement and the harsh environment of Antarctica. An outstanding analogue for the isolation and confinement of space missions (especially planetary outposts), ANARE has been used as an international research platform by Australia and the United States since 1993. Collaborative research has demonstrated a lowered responsiveness of the immune system under the isolation and confinement of Antarctic winter-over; a reduction of almost 50% in T cell proliferation to mitogen phytohaemogglutinin, as well as changes in latent herpesvirus states and the expansion of the polyclonal latent Epstein-Barr virus infected B cell populations. Although no clinically significant disease has been found to result from these immune changes, research is currently assessing the effects of psychological factors on the immune system. This and associated research performed to date and its relevance to both organisations is discussed, and comment made on possible extensions to the program in both medical and other fields. (C) 1998 International Astronautical Federation Published by Elsevier Science Ltd. All rights reserved.</t>
  </si>
  <si>
    <t>Antarctic Div, Kingston, Tas 7050, Australia</t>
  </si>
  <si>
    <t>Lugg, D (corresponding author), Antarctic Div, Kingston, Tas 7050, Australia.</t>
  </si>
  <si>
    <t>0094-5765</t>
  </si>
  <si>
    <t>ACTA ASTRONAUT</t>
  </si>
  <si>
    <t>Acta Astronaut.</t>
  </si>
  <si>
    <t>APR-JUN</t>
  </si>
  <si>
    <t>7-12</t>
  </si>
  <si>
    <t>10.1016/S0094-5765(99)00068-5</t>
  </si>
  <si>
    <t>Engineering, Aerospace</t>
  </si>
  <si>
    <t>235RB</t>
  </si>
  <si>
    <t>WOS:000082555400040</t>
  </si>
  <si>
    <t>The tetraphyllidean cercoids from teleosts occurring in the Weddell Sea (Antarctic)</t>
  </si>
  <si>
    <t>Tetraphyllidea; cercoids; teleost fishes; Weddell Sea; Antarctic</t>
  </si>
  <si>
    <t>PARASITOLOGY; FISH</t>
  </si>
  <si>
    <t>In total, 400 teleosts of 32 species (7 families) were examined. Cercoids of Tetraphyllidea (about 41 thousands) occurred in 204 host specimens of 26 species. Three morphological forms of cercoids were recognized. They were cercoids with bothridia divided into two and three loculi, and cercoids with subcylindrical bothridia. All forms were found in fishes from the Weddell Sea. for the first time. Cercoids with bilocular bothridia were the most abundant form (90.7% of all specimens); cercoids with trilocular bothridia and cercoids with subcylindrical bothridia were less numerous (6.6 and 2.7% of all specimens, respectively). Cercoids concentrated in obligatory or facultative predators, whereas pelagic and bentho-pelagic fishes feeding on crill, were rarely infected. Chioizodraco hamatus was the most heavily infected - prevalence 100%, relative density 903.</t>
  </si>
  <si>
    <t>WITOLD STEFANSKI INST PARASITOLOGY</t>
  </si>
  <si>
    <t>L. PASTEURA 3, S.P. 153, 00-073 WARSAW, POLAND</t>
  </si>
  <si>
    <t>212QB</t>
  </si>
  <si>
    <t>WOS:000081226800005</t>
  </si>
  <si>
    <t>Zdzitowiecki, K; Zadrózny, T</t>
  </si>
  <si>
    <t>Endoparasitic worms of Harpagifer antarcticus Nybelin, 1947 off the South Shetland Islands (Antarctic)</t>
  </si>
  <si>
    <t>endoparasitic worms; Harpagifer; fish; Antarctic</t>
  </si>
  <si>
    <t>PARASITES; NEMATODE; FISH</t>
  </si>
  <si>
    <t>Fifty specimens of Harpagifer antarcticus Nybelin, 1947 caught off King George Island in Admiralty Bay (44) and off Elephant Island (6), were examined for endoparasitic worms. Fifteen or sixteen species and larval forms were found, including three species of Digenea (Macvicaria georgiana, Genolinea bowersi and Gonocerca phycidis), four forms of larval Cestoda (three tetraphyllidean cercoids and diphyllobothriid plerocercoid), five species of Acanthocephala (Aspersentis megarhynchus, Metacanthocephalus dalmori, Corynosoma arctocephali cystacanth, C. hamanni cystacanth and C. pseudohamanni cystacanth) and three or four species of Nematoda, Ascarophis nototheniae, Pseudoterranova decipiens third stage larva (L3) and Contracaecum sp. L3 = ?C. osculatum and ?C. radiatum. Only some of the specimens of the two digenean species, M. georgiana and G. bowersi, were fully mature (containing eggs). No one form is specific for Harpagifer, eight have not previously been :reported from H. antarcticus. The total prevalence of :infection was 68% with a maximum intensity 19 worms. The most numerous parasite in Admiralty Bay was G. bowersi (67 specimens) occurring with a prevalence of 23%; A. megarhynchus was less numerous (19 specimens), but occurred with a higher prevalence, 25%. A list of internal parasitic worms of H. antarcticus (according to present;and literature data, probably 17 forms) is compared with that of Notothenia coriiceps occurring in the similar (partly the same) environment at King George Island (27 forms); this is 63% of forms recorded in H. antarcticus. All parasites of H. antarcticus occur in N. coriiceps. A list of parasitic worms recorded in three harpagiferid species iis given. The role of harpagiferids as intermediate or paratenic hosts of parasitic worms appears to be more important than a role as definitive hosts.</t>
  </si>
  <si>
    <t>Polish Acad Sci, W Stefanski Inst Parasitol, PL-00818 Warsaw, Poland; Polish Acad Sci, Dept Anarctic Biol, PL-02141 Warsaw, Poland</t>
  </si>
  <si>
    <t>Polish Academy of Sciences; Polish Academy of Sciences</t>
  </si>
  <si>
    <t>Zdzitowiecki, K (corresponding author), Polish Acad Sci, W Stefanski Inst Parasitol, Twarda 51-55, PL-00818 Warsaw, Poland.</t>
  </si>
  <si>
    <t>WOS:000081226800007</t>
  </si>
  <si>
    <t>Pinnock, M; Rodger, AS; Baker, KB; Lu, G; Hairston, M</t>
  </si>
  <si>
    <t>Conjugate observations of the day-side reconnection electric field: A GEM boundary layer campaign</t>
  </si>
  <si>
    <t>ionosphere (plasma convection; polar; ionosphere); magnetospheric physics (magnetosphere-ionosphere interactions)</t>
  </si>
  <si>
    <t>INTERPLANETARY MAGNETIC-FIELD; HF-RADAR OBSERVATIONS; FLUX-TRANSFER EVENTS; CONVECTION PATTERNS; DAYSIDE CONVECTION; IONOSPHERIC CUSP; DIPOLE TILT; LATITUDE; MAGNETOPAUSE; DYNAMICS</t>
  </si>
  <si>
    <t>Data from HF-radars are used to make the first simultaneous conjugate measurements of the dayside reconnection electric field. A period of 4 h around local magnetic noon are studied during a geospace environment modeling (GEM) boundary layer campaign. The interplanetary magnetic field (IMF) was southward whilst the eastward component (By) was variable. The flow patterns derived from the radar data show the expected conjugate asymmetries associated with IMF \By\ &gt; 0. High-time resolution data (50 and 100 s) enable the flow of plasma across the open/closed field line boundary (the separatrix) to be studied in greater detail than in previous work. The latitude of the separatrix follows the same general trend in both hemispheres but shows a hemispherical difference of 4 degrees, with the summer cusp at higher latitude, as expected from dipole tilt considerations. However, the short-time scale motion of the separatrix cannot be satisfactorily resolved within the best resolution (300 m s(-1)) of the experiment. The orientation of the separatrix with respect to magnetic latitude is found to follow the same trend in both hemispheres and qualitatively fits that predicted by a model auroral oval. It shows no correlation with IMF By. However, the degree of tilt in the Northern (summer) Hemisphere is found to be significantly greater than that given by the model oval. The convection pattern data show that the meridian at which throat flow occurs is different in the two hemispheres and is controlled by IMF By, in agreement with empirically derived convection patterns and theoretical models. The day-side reconnection electric field values are largest when the radar's meridian is in the throat flow or Parry afternoon flow regions. In the morning or afternoon convection cells, the reconnection electric field tends to zero away from the throat flow region. The reconnection electric field observed in the throat flow region is bursty in nature.</t>
  </si>
  <si>
    <t>British Antarctic Survey, NERC, Cambridge CB3 0ET, England; Johns Hopkins Univ, Appl Phys Lab, Laurel, MD USA; Natl Ctr Atmospher Res, High Altitude Observ, Boulder, CO 80307 USA; Univ Texas, Ctr Space Sci, Richardson, TX 75083 USA</t>
  </si>
  <si>
    <t>UK Research &amp; Innovation (UKRI); Natural Environment Research Council (NERC); NERC British Antarctic Survey; Johns Hopkins University; Johns Hopkins University Applied Physics Laboratory; National Center Atmospheric Research (NCAR) - USA; University of Texas System; University of Texas Dallas</t>
  </si>
  <si>
    <t>Pinnock, M (corresponding author), British Antarctic Survey, NERC, Cambridge CB3 0ET, England.</t>
  </si>
  <si>
    <t>M.Pinnock@bas.ac.uk</t>
  </si>
  <si>
    <t>Hairston, Marc/0000-0003-4524-4837</t>
  </si>
  <si>
    <t>10.1007/s00585-999-0443-4</t>
  </si>
  <si>
    <t>188QY</t>
  </si>
  <si>
    <t>WOS:000079860900001</t>
  </si>
  <si>
    <t>Balmforth, HF; Moffett, RJ; Rodger, AS</t>
  </si>
  <si>
    <t>Localized structure in the cusp and high-latitude ionosphere: a modelling study</t>
  </si>
  <si>
    <t>ionosphere (ionosphere-magnetosphere interactions ; polar ionosphere); magnetospheric physics (magnetopause, cusp and boundary layers)</t>
  </si>
  <si>
    <t>POLAR-CAP; F-REGION; EISCAT OBSERVATIONS; ELECTRIC-FIELDS; PATCHES; LAYER; ORIGIN; PLASMASPHERE; TEMPERATURE; IONIZATION</t>
  </si>
  <si>
    <t>The ionospheric signature of a flux transfer event (FTE) seen in EISCAT radar data has been used as the basis for a modelling study using a new numerical model of the high-latitude ionosphere developed at the University of Sheffield, UK. The evolution of structure in the high-latitude ionosphere is investigated and examined with respect to the current views of polar patch formation and development. A localized velocity enhancement, of the type associated with FTEs, is added to the plasma as it passes through the cusp. This is found to produce a region of greatly enhanced ion temperature. The new model can provide greater detail during this event as it includes anisotropic temperature calculations for the O+ ions. This illustrates the uneven partitioning of the energy during an event of this type. O+ ion temperatures are found to become increasingly anisotropic, with the perpendicular temperature being substantially larger than the parallel component during the velocity enhancement. The enhanced temperatures lead to an increase in the recombination rate, which results in an alteration of the ion concentrations. A region of decreased O+ and increased molecular ion concentration develops in the cusp. The electron temperature is less enhanced than the ions. As the new model has an upper boundary of 10 000 km the topside can also be studied in great detail. Large upward fluxes are seen to transport plasma to higher altitudes, contributing to the alteration of the ion densities. Plasma is stored in the topside ionosphere and released several hours after the FTE has finished as the flux tube convects across the polar cap. This mechanism illustrates how concentration patches can be created on the dayside and be maintained into the nightside polar cap.</t>
  </si>
  <si>
    <t>Univ Sheffield, Sch Math &amp; Stat, Upper Atmosphere Modelling Grp, Sheffield S3 7RH, S Yorkshire, England.</t>
  </si>
  <si>
    <t>r.moffett@sheffield.ac.uk</t>
  </si>
  <si>
    <t>10.1007/s00585-999-0455-0</t>
  </si>
  <si>
    <t>WOS:000079860900002</t>
  </si>
  <si>
    <t>Chiappini, M; von Frese, RRB</t>
  </si>
  <si>
    <t>Advances in antarctic geomagnetism - Preface</t>
  </si>
  <si>
    <t>V</t>
  </si>
  <si>
    <t>204KL</t>
  </si>
  <si>
    <t>WOS:000080763400001</t>
  </si>
  <si>
    <t>Torta, JM; Gaya-Piqué, LR; Solé, JG; Blanco, I; García, A</t>
  </si>
  <si>
    <t>A new geomagnetic observatory at Livingston Island (South Shetland Islands):: Implications for future regional magnetic surveys</t>
  </si>
  <si>
    <t>geomagnetic observatories; magnetic surveys; magnetic anomalies</t>
  </si>
  <si>
    <t>ANTARCTIC PENINSULA; AEROMAGNETIC SURVEYS; ANOMALY DATA; FIELD</t>
  </si>
  <si>
    <t>A permanent geomagnetic observatory is always the ideal reference station for monitoring geomagnetic activity during airborne, marine or ground magnetic surveying, especially in Antarctica, where logistic difficulties are an important factor even for the deployment of temporary base stations. The utility of the magnetic observatory records for the correct reduction of the survey data is reinforced if both their spatial homogeneity and their particular anomaly biases are assessed. This, combined with data from the magnetic surveys themselves, can yield information on the crustal contribution to the Earth's magnetic field from a remote and poorly understood region. With these objectives in mind, we present a new geomagnetic observatory in the South Shetland Islands, where (because of the complex regional tectonic characteristics) magnetic surveys on one or another structure are conducted from time to time. An evaluation of the observatory representativeness and a look at the crustal magnetic anomaly ambience are also given.</t>
  </si>
  <si>
    <t>Univ Ramon Llull, CSIC, Observ Ebre, Tarragona 43520, Spain; CSIC, Museo Nacl Ciencias Nat, E-28006 Madrid, Spain</t>
  </si>
  <si>
    <t>Universitat Ramon Llull; Ebre Observatory; Consejo Superior de Investigaciones Cientificas (CSIC); Consejo Superior de Investigaciones Cientificas (CSIC); CSIC - Museo Nacional de Ciencias Naturales (MNCN)</t>
  </si>
  <si>
    <t>Torta, JM (corresponding author), Univ Ramon Llull, CSIC, Observ Ebre, C Horta Alta 38, Tarragona 43520, Spain.</t>
  </si>
  <si>
    <t>Torta, Joan Miquel/C-7614-2014; Blanco-Montenegro, Isabel/C-7221-2009</t>
  </si>
  <si>
    <t>Torta, Joan Miquel/0000-0002-4340-7308; Blanco-Montenegro, Isabel/0000-0003-0087-7024</t>
  </si>
  <si>
    <t>WOS:000080763400002</t>
  </si>
  <si>
    <t>Nogi, Y; Kaminuma, K</t>
  </si>
  <si>
    <t>Measurements of vector magnetic anomalies on board the icebreaker Shirase and the magnetization of the ship</t>
  </si>
  <si>
    <t>shipboard three component magnetometer; vector measurements of the geomagnetic field; ship's permanent magnetization; ship's induced magnetic field</t>
  </si>
  <si>
    <t>Vector measurements of the geomagnetic field have been made in the South Indian Ocean since 1988 when a Shipboard Three Component Magnetometer (STCM) was installed on board the icebreaker Shirase by the 30th Japanese Antarctic Research Expedition (JARE-30). Twelve constants related to the ship's induced and permanent magnetic field were determined by the data obtained from the JARE-30 to the JARE-35. The constants related to the ship's magnetic susceptibility distribution are almost stable throughout the cruise and mostly depend on the ship's shape. On the other hand, the constants related to the ship's permanent magnetization are variable. However, absolute values of total intensity geomagnetic field calculated from vector geomagnetic field is possible to use, if the constraints from total intensity geomagnetic field measured by the proton magnetometer and/or satellite derived magnetic anomalies are applied.</t>
  </si>
  <si>
    <t>Natl Inst Polar Res, Itabashi Ku, Tokyo 1738515, Japan</t>
  </si>
  <si>
    <t>Research Organization of Information &amp; Systems (ROIS); National Institute of Polar Research (NIPR) - Japan</t>
  </si>
  <si>
    <t>Nogi, Y (corresponding author), Natl Inst Polar Res, Itabashi Ku, 1-9-10 Kaga, Tokyo 1738515, Japan.</t>
  </si>
  <si>
    <t>Nogi, Yoshifumi/0000-0001-8457-4244</t>
  </si>
  <si>
    <t>WOS:000080763400004</t>
  </si>
  <si>
    <t>Lodolo, E; Coren, F; Zanolla, C</t>
  </si>
  <si>
    <t>The Osservatorio Geofisico Sperimentale marine magnetic surveys in the Antarctic seas</t>
  </si>
  <si>
    <t>marine magnetic and gradiometric profiles; sea-floor magnetic anomalies; tectonic reconstructions</t>
  </si>
  <si>
    <t>CRUST</t>
  </si>
  <si>
    <t>About 40 000 km of marine magnetic and gradiometric data have been collected during eight geophysical surveys conducted since the Austral summer 1987/1988 in the circum-antarctic seas, by the research vessel OGS-Explora. For the most surveyed areas (Ross Sea, Southwestern Pacific Ocean, and Southern Scotia Sea), the analysis of the acquired data have contributed to clarify important aspects of their geological structure and tectonic evolution. The main scientific results, obtained combining other available geophysical data (multichannel seismic profiles and satellite-derived data), will be briefly illustrated.</t>
  </si>
  <si>
    <t>Osservatorio Geofis Sperimentale, I-34016 Trieste, Italy</t>
  </si>
  <si>
    <t>Istituto Nazionale di Oceanografia e di Geofisica Sperimentale</t>
  </si>
  <si>
    <t>Lodolo, E (corresponding author), Osservatorio Geofis Sperimentale, POB 2011, I-34016 Trieste, Italy.</t>
  </si>
  <si>
    <t>LODOLO, Emanuele/0000-0002-4706-2095; COREN, Franco/0000-0002-7160-1001</t>
  </si>
  <si>
    <t>WOS:000080763400007</t>
  </si>
  <si>
    <t>Purucker, ME; von Frese, RRB; Taylor, PT</t>
  </si>
  <si>
    <t>Mapping and interpretation of satellite magnetic anomalies from POGO data over the Antarctic region</t>
  </si>
  <si>
    <t>Antarctic; geomagnetic field; magnetic field satellites; magnetic anomalies</t>
  </si>
  <si>
    <t>REMANENT MAGNETIZATION; FIELD; COMPONENTS; OCEANS; MODEL; MAPS</t>
  </si>
  <si>
    <t>A satellite magnetic anomaly map made using the POGO magnetic field data is compared to three maps made using Magsat data. A total of 14 anomalies with magnitudes greater than 3 nT can be identified in all four of the maps poleward of 60 degrees S latitude. Forward models of the Antarctic continental and oceanic lithosphere are produced which use magnetic crustal thickness based on seismic and heat flow data, and which also use the distribution of the Cretaceous Quiet Zone from marine geophysics. These simple models can explain significant parts of eight of the 14 identified anomalies. The remaining anomalies may be caused by lateral variations of magnetization, inadequate models of the magnetic crustal thickness, or remanent magnetizations in directions other than the present field. In addition, contamination of the magnetic anomaly maps by fields of time-varying external origin (and their corresponding internal parts) is still a significant problem in the Antarctic region.</t>
  </si>
  <si>
    <t>NASA, Goddard Space Flight Ctr, Geodynam Branch, Raytheon ITSS, Greenbelt, MD 20771 USA; Ohio State Univ, Byrd Polar Res Ctr, Columbus, OH 43210 USA; Ohio State Univ, Dept Geol Sci, Columbus, OH 43210 USA</t>
  </si>
  <si>
    <t>National Aeronautics &amp; Space Administration (NASA); NASA Goddard Space Flight Center; University System of Ohio; Ohio State University; University System of Ohio; Ohio State University</t>
  </si>
  <si>
    <t>Purucker, ME (corresponding author), NASA, Goddard Space Flight Ctr, Geodynam Branch, Raytheon ITSS, Greenbelt, MD 20771 USA.</t>
  </si>
  <si>
    <t>Taylor, Patrick T/D-4707-2012</t>
  </si>
  <si>
    <t>Taylor, Patrick T/0000-0002-1212-9384</t>
  </si>
  <si>
    <t>WOS:000080763400008</t>
  </si>
  <si>
    <t>Johnson, A; Cheeseman, S; Ferris, J</t>
  </si>
  <si>
    <t>Improved compilation of Antarctic Peninsula magnetic data by new interactive grid suturing and blending methods</t>
  </si>
  <si>
    <t>aeromagnetic; grid compilation; GridKnit (TM)</t>
  </si>
  <si>
    <t>The utility of aeromagnetic and other geoscientific compilations on a range of scales, is well established for a wide variety of geological investigations. Aeromagnetic compilations, currently underway for the Antarctic continent are vital to take full advantage of existing aeromagnetic surveys and for planning new surveys of this relatively unknown continent. Grid compilation is often a time-consuming and subjective task, which requires considerable effort from the geoscientist involved. A new interactive grid compilation tool, GridKnit(TM), is presented, which enables the operator to rapidly combine gridded data sets with high quality results. The system offers two methods: a conventional blending method and a new suturing method. The blending method distributes the errors between grids over the area of overlap, effectively 'feathering' one grid into the other. The suturing method uses an analysis of the wavelengths of the data mismatches to correct each grid by an amount proportional to that wavelength. Each method has been applied to data sets from the Bellingshausen Sea-Alexander Island area of Antarctica to produce the first coherent magnetic map of this remote region.</t>
  </si>
  <si>
    <t>British Antarctic Survey, Cambridge CB3 0ET, England; Geosoft Inc, Toronto, ON, Canada</t>
  </si>
  <si>
    <t>Johnson, A (corresponding author), British Antarctic Survey, High Cross,Madingley Rd, Cambridge CB3 0ET, England.</t>
  </si>
  <si>
    <t>WOS:000080763400010</t>
  </si>
  <si>
    <t>Bell, RE; Small, C; Arko, RA</t>
  </si>
  <si>
    <t>Development of a new generation gravity map of Antarctica: ADGRAV Antarctic digital gravity synthesis</t>
  </si>
  <si>
    <t>gravity; Antarctica</t>
  </si>
  <si>
    <t>The U.S. National Science Foundation (NSF) has agreed to support the development of a new generation gravity map of Antarctica (ADGRAV - Antarctic Digital Gravity Synthesis), funding the development of a web based access tool. The goal of this project is the creation of an on-line Antarctic gravity database which will facilitate access to improved high resolution satellite gravity models, in conjunction with shipboard, airborne, and land based gravity measurements for the continental regions. This database will complement parallel projects underway to develop new continental bedrock (BEDMAP) and magnetic (ADMAP) maps of Antarctica.</t>
  </si>
  <si>
    <t>Bell, RE (corresponding author), Columbia Univ, Lamont Doherty Earth Observ, Palisades, NY 10964 USA.</t>
  </si>
  <si>
    <t>WOS:000080763400011</t>
  </si>
  <si>
    <t>De Santis, A; Chiappini, M; Torta, JM; von Frese, RRB</t>
  </si>
  <si>
    <t>Development of an improved geomagnetic reference field of Antarctica</t>
  </si>
  <si>
    <t>geomagnetic reference field; spherical cap harmonics; polar regions</t>
  </si>
  <si>
    <t>CAP HARMONIC-ANALYSIS</t>
  </si>
  <si>
    <t>The properties of the Earth's core magnetic field and its secular variation are poorly known for the Antarctic. The increasing availability of magnetic observations from airborne and satellite surveys, as well as the existence of several magnetic observatories and repeat stations in this region, offer the promise of greatly improving our understanding of the Antarctic core field. We investigate the possible development of a Laplacian reference model of the core field from these observations using spherical cap harmonic analysis. Possible uses and advantages of this approach relative to the implementations of the standard global reference field are also considered.</t>
  </si>
  <si>
    <t>Ist Nazl Geofis, I-00143 Rome, Italy; CSIC, Museo Nacl Ciencias Nat, E-28006 Madrid, Spain; Ohio State Univ, Dept Geol Sci, Columbus, OH 43210 USA; Ohio State Univ, Byrd Polar Res Ctr, Columbus, OH 43210 USA</t>
  </si>
  <si>
    <t>Istituto Nazionale Geofisica e Vulcanologia (INGV); Consejo Superior de Investigaciones Cientificas (CSIC); CSIC - Museo Nacional de Ciencias Naturales (MNCN); University System of Ohio; Ohio State University; University System of Ohio; Ohio State University</t>
  </si>
  <si>
    <t>De Santis, A (corresponding author), Ist Nazl Geofis, Via Vigna Murata 605, I-00143 Rome, Italy.</t>
  </si>
  <si>
    <t>De Santis, Angelo/AAG-2895-2021; Torta, Joan Miquel/C-7614-2014</t>
  </si>
  <si>
    <t>Torta, Joan Miquel/0000-0002-4340-7308</t>
  </si>
  <si>
    <t>WOS:000080763400012</t>
  </si>
  <si>
    <t>Tabacco, IE; Bianchi, C; Chiappini, M; Passerini, A; Zirizzotti, A; Zuccheretti, E</t>
  </si>
  <si>
    <t>Latest improvements for the echo sounding system of the Italian radar glaciological group and measurements in Antarctica</t>
  </si>
  <si>
    <t>radioglaciology; ground penetrating radar; ice thickness measurements</t>
  </si>
  <si>
    <t>Radio echo sounding is an active remote-sensing method using electromagnetic wave penetration in a particular medium such as ice and permits the measurements of its thickness, the level of the bedrock and inhomogeneities i.e. of the internal layering of glaciers. The Italian Radar Glaciological Group has implemented technical improvements on the system operating during the 1995-1996 Antarctic expeditions, increasing the horizontal and the vertical resolution by means of a new acquisition ensemble. The new system was used during the Antarctic expedition in 1997-1998. The present paper presents the latest improvements of the radar acquisition system and radar profiles extracted from the 1995-1996 and the 1997-1998 Antarctic expeditions are presented.</t>
  </si>
  <si>
    <t>Univ Milan, Sez Geofis, I-20129 Milan, Italy; Ist Nazl Geofis, I-00161 Rome, Italy; Univ Milan, Dipartimento Fis, I-20122 Milan, Italy</t>
  </si>
  <si>
    <t>University of Milan; Istituto Nazionale Geofisica e Vulcanologia (INGV); University of Milan</t>
  </si>
  <si>
    <t>Tabacco, IE (corresponding author), Univ Milan, Sez Geofis, Via Cicognara 7, I-20129 Milan, Italy.</t>
  </si>
  <si>
    <t>Zuccheretti, Enrico/G-5821-2011; Zirizzotti, Achille/HKE-0592-2023</t>
  </si>
  <si>
    <t>Zuccheretti, Enrico/0000-0003-1732-4557; Zirizzotti, Achille/0000-0001-7586-9219</t>
  </si>
  <si>
    <t>WOS:000080763400013</t>
  </si>
  <si>
    <t>Chiappini, M; Ferraccioli, F; Bozzo, E; Damaske, D; Behrendt, JC</t>
  </si>
  <si>
    <t>First stage of INTRAMAP: INtegrated Transantarctic Mountains and Ross Sea Area Magnetic Anomaly Project</t>
  </si>
  <si>
    <t>magnetic anomalies; Antarctica; magnetic map compilation; potential field data</t>
  </si>
  <si>
    <t>GEOMAGNETIC REFERENCE FIELD; GENERATION; ANTARCTICA</t>
  </si>
  <si>
    <t>INTRAMAP (INtegrated Transantarctic Mountains and Ross Sea Area Magnetic Anomaly Project) is an international effort to merge the magnetic data acquired throughout the &lt;</t>
  </si>
  <si>
    <t>Ist Nazl Geofis, I-00143 Rome, Italy; Univ Genoa, DISTER, I-16126 Genoa, Italy; BGR, Hannover, Germany; INSTAAR, Denver, CO USA</t>
  </si>
  <si>
    <t>Istituto Nazionale Geofisica e Vulcanologia (INGV); University of Genoa</t>
  </si>
  <si>
    <t>Chiappini, M (corresponding author), Ist Nazl Geofis, Via Vigna Murata 605, I-00143 Rome, Italy.</t>
  </si>
  <si>
    <t>WOS:000080763400014</t>
  </si>
  <si>
    <t>von Frese, RRB; Roman, DR; Kim, JH; Kim, JW; Anderson, AJ</t>
  </si>
  <si>
    <t>Satellite mapping of the Antarctic gravity field</t>
  </si>
  <si>
    <t>ADMAP; gravity; Antarctic; satellite; altimetry</t>
  </si>
  <si>
    <t>ANOMALY CORRELATIONS; WEST-ANTARCTICA; BOUNDARY; EAST</t>
  </si>
  <si>
    <t>The production and analysis of the Antarctic digital magnetic anomaly map will be greatly aided by complementary gravity data. They help to constrain thickness variations of the crust and related magnetic effects that may be used for correcting long-wavelength errors in near-surface magnetic survey compilations. They also limit ambiguities in geological interpretations of magnetic anomalies. Antarctic free-air gravity anomalies are available from the 1 degrees Earth Gravity Model 1996 (EGM96). These coefficients satisfy gravity estimates from satellite radar altimetry, as well as surface or near-surface measurements in roughly 75% of the 30 are-minute blocks south of 60 degrees S. For the remaining blocks, the EGM96 predictions are limited in resolution to degree 70 based on satellite orbital analyses. Anomaly predictions over the unsurveyed regions of the Antarctic will be greatly improved by additional orbital measurements from the pending low-altitude (i.e., 150-500 km) CHAMP and GRACE satellite missions of ESA and NASA, respectively. Shorter wavelength anomalies are available from Geosat and ERS-1 &amp; 2 radar altimetry data for marine regions away from the shoreline that compare very well with modern, good-quality shipborne data. Over the Gunnerus Ridge region, for example, satellite altimetry-derived free-air gravity predictions at a 3-5 km grid interval have an accuracy of about 3 mgals or less.</t>
  </si>
  <si>
    <t>Ohio State Univ, Dept Geol Sci, Columbus, OH 43210 USA; Ohio State Univ, Byrd Polar Res Ctr, Columbus, OH 43210 USA; Kyongnam Natl Univ, Dept Civil Engn, Masan, South Korea; Sejong Univ, Dept Earth Sci, Seoul, South Korea; Univ Calif Santa Barbara, Dept Phys, Santa Barbara, CA 93106 USA</t>
  </si>
  <si>
    <t>University System of Ohio; Ohio State University; University System of Ohio; Ohio State University; Sejong University; University of California System; University of California Santa Barbara</t>
  </si>
  <si>
    <t>von Frese, RRB (corresponding author), Ohio State Univ, Dept Geol Sci, 125 S Oval Mall, Columbus, OH 43210 USA.</t>
  </si>
  <si>
    <t>WOS:000080763400015</t>
  </si>
  <si>
    <t>von Frese, RRB; Kim, HR; Tan, L; Kim, JW; Taylor, PT; Purucker, ME; Alsdorf, DE; Raymond, CA</t>
  </si>
  <si>
    <t>Satellite magnetic anomalies of the Antarctic crust</t>
  </si>
  <si>
    <t>Antarctic; crust; magnetic anomalies; ADMAP; satellite surveys; airborne surveys</t>
  </si>
  <si>
    <t>FIELD; BOUNDARY; GRAVITY; INVERSION; MOHO</t>
  </si>
  <si>
    <t>Spatially and temporally static crustal magnetic anomalies are contaminated by static core field effects above spherical harmonic degree 12 and dynamic, large-amplitude external fields. To extract crustal magnetic anomalies from the measurements of NASA's Magsat mission, we separate crustal signals from both core and external field effects. In particular, we define Magsat anomalies relative to the degree 11 field and use spectral correlation theory to reduce them for external field effects. We obtain a model of Antarctic crustal thickness by comparing the region's terrain gravity effects to free-air gravity anomalies derived from the Earth Gravity Model 1996 (EGM96). To separate core and crustal magnetic effects, we obtain the pseudo-magnetic effect of the crustal thickness variations from their gravity effect via Poisson's theorem for correlative potentials. We compare the pseudo-magnetic effect of the crustal thickness variations to field differences between degrees 11 and 13 by spectral correlation analysis. We thus identify and remove possible residual core field effects in the Magsat anomalies relative to the degree 11 core field. The resultant anomalies reflect possible Antarctic contrasts due both to crustal thickness and intracrustal variations of magnetization. In addition, they provide important constraints on the geologic interpretation of aeromagnetic survey data, such as are available for the Weddell Province. These crustal anomalies also may be used to correct for long wavelength errors in regional compilations of near-surface magnetic survey data. However, the validity of these applications is limited by the poor quality of the Antarctic Magsat data that were obtained during austral Summer and Fall when south polar external field activity was maximum. Hence an important test and supplement for the Antarctic crustal Magsat anomaly map will be provided by the data from the recently launched Orsted mission, which will yield coverage over austral Winter and Spring periods when external field activity is minimal.</t>
  </si>
  <si>
    <t>Ohio State Univ, Dept Geol Sci, Columbus, OH 43210 USA; Ohio State Univ, Byrd Polar Res Ctr, Columbus, OH 43210 USA; Sejong Univ, Dept Earth Sci, Seoul, South Korea; NASA, Goddard Space Flight Ctr, Geodynam Branch, Greenbelt, MD 20771 USA; NASA, Goddard Space Flight Ctr, Geodynam Branch, RSTX, Greenbelt, MD 20771 USA; Cornell Univ, Dept Geol Sci, Ithaca, NY 14853 USA; CALTECH, Jet Prop Lab, Pasadena, CA 91109 USA</t>
  </si>
  <si>
    <t>University System of Ohio; Ohio State University; University System of Ohio; Ohio State University; Sejong University; National Aeronautics &amp; Space Administration (NASA); NASA Goddard Space Flight Center; National Aeronautics &amp; Space Administration (NASA); NASA Goddard Space Flight Center; Cornell University; California Institute of Technology; National Aeronautics &amp; Space Administration (NASA); NASA Jet Propulsion Laboratory (JPL)</t>
  </si>
  <si>
    <t>WOS:000080763400016</t>
  </si>
  <si>
    <t>Golynsky, AV; Masolov, VN</t>
  </si>
  <si>
    <t>Interpretation of ground and aeromagnetic surveys of Palmer Land, Antarctic Peninsula</t>
  </si>
  <si>
    <t>aeromagnetic survey; batholith; magnetic anomalies; modelling; Palmer Land; susceptibility</t>
  </si>
  <si>
    <t>EVOLUTION; ANOMALIES</t>
  </si>
  <si>
    <t>Aeromagnetic data for Palmer Land provide new information on crustal structures of the Antarctic Peninsula. Features shown on the compilation of the Lassiter Coast and Orville Coast are characterized by systems of subparallel regional anomaly zones and lineaments. The magnetic data reveal the widespread presence of an orthogonal pattern of crosscutting linear discontinuities that can be interpreted as a Late Cretaceous/Early Tertiary fracture pattern. The main displacements in the anomaly pattern between the two units are recognized in Wetmore-Irvine glaciers area where the structure of the Antarctic Peninsula changes orientation from SW-NE to S-N. The NW-SE trending transitional zone is probably a transfer zone associated with north-westerly movement of the Lassiter Coast crustal segment relative to the Orville Coast segment. Within the Lassiter Coast a fragment of Pacific Margin Anomaly (PMA), Central Plateau Magnetic Anomaly and East Coast Magnetic Anomaly (ECMA) are mapped. Two-dimensional modelling suggests that PMA is caused by a limited depth body (8 km) consisting of numerous plutons, probably, of different ages, composition and magnetization. The Central Plateau Magnetic Anomaly and the Merrick-Sweeney-Latady zone of the Orville Coast are represented by strong positive anomaly bands that are associated with gabbro-diorite rocks and accompanying plutons intruded near by the border of Mount Poster Formation and Latady Formation. The ECMA are alignments of high-amplitude magnetic anomalies caused by gabbro-diorite bodies, which are located within the framework of the Cretaceous granite-granodiorite plutons. Granite-granodiorite plutons of Lassiter Coast Intrusive Suite are mostly reflected by positive anomalies (100-500 nT). Modelling studies and the character of distribution of the magnetic anomalies suggest that the plutons of Lassiter Coast Intrusive Suite are prominently reflected in magnetic anomalies of regional extent. The plutonic activities during the geological evolution of Palmer Land have been a more important process than what is apparent from rock outcrops. Magmatic activity abruptly diminished westward from the Behrendt Mountains apparently due to a modification of the crustal structure of the Antarctic Peninsula. The area between the Evans Ice Stream and the Behrendt Mountains is possibly underlain by the non-magnetic equivalent of the Haag Nunataks basement, similar to that which has been inferred for the Ellsworth Mountains.</t>
  </si>
  <si>
    <t>VNIIOkeangeol, St Petersburg 190121, Russia; Polar Marine Geol Res Expedit, Lomonosov, Russia</t>
  </si>
  <si>
    <t>Golynsky, AV (corresponding author), VNIIOkeangeol, 1 Angliysky Ave, St Petersburg 190121, Russia.</t>
  </si>
  <si>
    <t>sasha@gus1.vniio.nw.ru</t>
  </si>
  <si>
    <t>1590-1815</t>
  </si>
  <si>
    <t>WOS:000080763400018</t>
  </si>
  <si>
    <t>Ikegawa, M; Kimura, M; Honda, K; Akabane, I; Makita, K; Motoyama, H; Fujii, Y; Itokawa, Y</t>
  </si>
  <si>
    <t>Geographical variations of major and trace elements in East Antarctica</t>
  </si>
  <si>
    <t>Antarctic snow; ICP-MS; fallout flux; rare earth element; polar stratospheric precipitation</t>
  </si>
  <si>
    <t>ANTHROPOGENIC LEAD; ICP-MS; SNOW; RECORD; POLLUTION; METALS</t>
  </si>
  <si>
    <t>Surface snow samples have been analyzed for a total of 37 elements including Na, Mg, Al, K, Ca, Fe, Pa, Cd, Fe, Cd, Cr, Cu, Ga, Li, Mn, Pb, Se, Sr, V, Zn, As, Y, La, Ce, Pr, Nd, Sm, Eu, Gd, Tb, Dy, Ho, Er, Tm, Yb, Lu and Th by inductively coupled plasma mass spectroscopy (ICP-MS). Rare earth elements in surface snow were evaluated after preconcentration of the samples in a class 1000 clean room. These samples were collected between 1991-1993 during the oversnow traverses along a 2200 km route in East Queen Maud Land, Antarctica. They include one at Dome Fuji Station (77 degrees 32'S, 24 degrees 08'E; 3810 m a.s.l.) built on the top of the second highest dome. In coastal area, fallout flux for Na, Mg, Sr and Cu or more weakly for Ca and Ba shows an apparent decrease according to the distance from the coast. On the other hand, fallout flux for Co, Ni and Cd shows an increase at 2500-3000 m or &gt; 3500 m above sea level. For Mn, Se, Zn and As, it shows a combined pattern of these two types. For Al, V and Pb, a constant profile with an intermittent peaks along this route was indicated. These geographical distributions of fallout flux for each element could reflect polar stratospheric precipitation or long-range tropospheric transport from the southern hemisphere. In the present study, concentrations of rare earth elements in Antarctic surface snow at sub-ppt level are first reported. A clear rare earth pattern is noticed in the Antarctic samples and rare earth ratios are also valuable to estimate anthropogenic emissions to the Antarctica. (C) 1999 Elsevier Science Ltd. All rights reserved.</t>
  </si>
  <si>
    <t>Kyoto Univ, Grad Sch Med, Dept Social Med Social &amp; Prevent Med, Sakyo Ku, Kyoto, Japan; Perkin Elmer Japan, Osaka, Japan; Tama Chem, Tokyo, Japan; Takushoku Univ, Fac Engn, Tokyo, Japan; Natl Inst Polar Res, Tokyo 173, Japan; Kyoto Univ, Grad Sch Med, Dept Social Med, Sakyo Ku, Kyoto 60601, Japan</t>
  </si>
  <si>
    <t>Kyoto University; Research Organization of Information &amp; Systems (ROIS); National Institute of Polar Research (NIPR) - Japan; Kyoto University</t>
  </si>
  <si>
    <t>Ikegawa, M (corresponding author), Kyoto Univ, Fac Med, Dept Med Chem, Sakyo Ku, Yoshida-konoe-cho, Kyoto 606, Japan.</t>
  </si>
  <si>
    <t>10.1016/S1352-2310(98)00243-X</t>
  </si>
  <si>
    <t>170BX</t>
  </si>
  <si>
    <t>WOS:000078786900010</t>
  </si>
  <si>
    <t>Southwell, CJ; Cairns, SC; Pople, AR; Delaney, R</t>
  </si>
  <si>
    <t>Gradient analysis of macropod distribution in open forest and woodland of eastern Australia</t>
  </si>
  <si>
    <t>abundance; classification; community; diversity; environmental gradient; macropod; ordination; richness</t>
  </si>
  <si>
    <t>KAKADU-NATIONAL-PARK; RED-NECKED WALLABY; NEW-SOUTH-WALES; GREY-KANGAROO; DISTRIBUTION PATTERNS; WESTERN-AUSTRALIA; PASTORAL ZONE; AERIAL SURVEY; HOME RANGE; STAGE-III</t>
  </si>
  <si>
    <t>Macropod communities are most diverse in eastern Australia. Patterns of macropod abundance along environmental gradients were examined from data collected on transects located in open forest, woodland, and pasture close to forest or woodland, throughout eastern Australia from latitudes 18-33 degrees S. Nine species of macropod were recorded on the transects. Classification of the species by their abundance on transects grouped species in accordance with the latitudinal extent of their complete ranges. Three important environmental gradients were identified from 20 environmental variables measured at each transect: a climate-human influence gradient, contrasting heavily populated, temperate areas with sparsely populated, tropical/xeric areas; an elevation gradient, contrasting high, cold, sparsely vegetated areas with low, densely vegetated areas; and a physical-vegetation gradient, contrasting steep, rocky, densely vegetated areas with Rat, sparsely vegetated areas. Most species showed significant variation in abundance across these gradients. Patterns of ecological separation of the species along the gradients are examined and discussed. Total macropod abundance, richness and diversity showed a unimodal pattern along the climate-human influence gradient, with low levels at the gradient's extremes and high levels mid-way along the gradient. This pattern of richness and diversity is consistent with both productivity and structural diversity hypotheses. Abundance, richness and diversity varied linearly along the elevation and physical-vegetation gradients, with values increasing as elevation and slope increased. Variation in macropod abundance, richness and diversity along the physical-vegetation gradient may be related to shelter availability.</t>
  </si>
  <si>
    <t>Environm Australia, Biodivers Grp, Populat Assessment Unit, Canberra, ACT 2601, Australia; Univ New England, Dept Zool, Armidale, NSW 2351, Australia; Univ Queensland, Dept Zool, Brisbane, Qld 4072, Australia; James Cook Univ N Queensland, Dept Zool, Townsville, Qld 4811, Australia</t>
  </si>
  <si>
    <t>University of New England; University of Queensland; James Cook University</t>
  </si>
  <si>
    <t>Southwell, CJ (corresponding author), Australian Antarctic Div, Channel Highway, Kingston, Tas 7050, Australia.</t>
  </si>
  <si>
    <t>10.1046/j.1442-9993.1999.241954.x</t>
  </si>
  <si>
    <t>185LW</t>
  </si>
  <si>
    <t>WOS:000079671300005</t>
  </si>
  <si>
    <t>Renfrew, IA; Moore, GWK; Holt, TR; Chang, SW; Guest, P</t>
  </si>
  <si>
    <t>Mesoscale forecasting during a field program: Meteorological support of the Labrador Sea Deep Convection Experiment</t>
  </si>
  <si>
    <t>NUMERICAL WEATHER-PREDICTION; REAL-TIME; OCEAN; SATELLITE; DYNAMICS</t>
  </si>
  <si>
    <t>This report discusses the design and implementation of a specialized forecasting system that was set up to support the observational component of the Labrador Sea Deep Convection Experiment. This ongoing experiment is a multidisciplinary program of observations, theory, and modeling aimed at improving our knowledge of the deep convection process in the ocean, and the air-sea interaction that forces it. The observational part of the program was centered around a cruise of the R/V Knorr during winter 1997, as well as several complementary meteorological research flights. To aid the planning of ship and aircraft operations a specially tailored mesoscale model was run over the Labrador Sea, with the model output postprocessed and transferred to a remote field base. The benefits of using a warm-start analysis cycle in the model are discussed. The utility of the forecasting system is illustrated through a description of the flight planning process for several cases. The forecasts proved to be invaluable both in ship operations and in putting the aircraft in the right place at the night time. In writing this narrative the authors hope to encourage the use of similar forecasting systems in the support of future field programs, something that is becoming increasingly possible with the rise in real-time numerical weather prediction.</t>
  </si>
  <si>
    <t>Univ Toronto, Dept Phys, Toronto, ON, Canada; USN, Res Lab, Monterey, CA USA; USN, Postgrad Sch, Monterey, CA USA</t>
  </si>
  <si>
    <t>University of Toronto; United States Department of Defense; United States Navy; Naval Research Laboratory; United States Department of Defense; United States Navy; Naval Postgraduate School</t>
  </si>
  <si>
    <t>i.renfew@bas.ac.uk</t>
  </si>
  <si>
    <t>1520-0477</t>
  </si>
  <si>
    <t>10.1175/1520-0477(1999)080&lt;0605:MFDAFP&gt;2.0.CO;2</t>
  </si>
  <si>
    <t>189FW</t>
  </si>
  <si>
    <t>WOS:000079894800001</t>
  </si>
  <si>
    <t>Cole-Dai, J; Mosley-Thompson, E; Qin, DH</t>
  </si>
  <si>
    <t>Evidence of the 1991 Pinatubo volcanic eruption in South Polar snow</t>
  </si>
  <si>
    <t>CHINESE SCIENCE BULLETIN</t>
  </si>
  <si>
    <t>Pinatubo; volcanoes; Antarctica; ice cores</t>
  </si>
  <si>
    <t>AEROSOL; LAYERS</t>
  </si>
  <si>
    <t>Traces of tephra and increased sulfate (SO42-) concentrations were identified in the 1992-1994 snow layers in 2 firn cores from South Pole. The deposition of the Pinatubo SO42- aerosol was delayed due to the long transport to the high south latitudes and its initial existence at high altitudes in the Antarctic atmosphere. Electron microscopic analyses show that the element composition of the tephra is identical to that of volcanic ash found near the Pinatubo volcano in Philippines. Detailed stratigraphic snow sampling resolved the Pinatubo signal from that of Cerro Hudson eruption during August 1991 in Chile, The South Pole sulfate flux from Pinatubo is calculated to be (10.9 +/- 1.1) kg.km(-2), while the Hudson sulfate flux is (3.2 +/- 1.1) kg.km(-2). This information will be useful to estimating the magnitudes of the past volcanic eruptions recorded in Antarctic ice core.</t>
  </si>
  <si>
    <t>Ohio State Univ, Byrd Polar Res Ctr, Columbus, OH 43210 USA; Chinese Acad Sci, Lanzhou Inst Glaciol &amp; Geocryol, Lab Ice Core &amp; Cold Reg Environm, Lanzhou 730000, Peoples R China</t>
  </si>
  <si>
    <t>University System of Ohio; Ohio State University; Chinese Academy of Sciences</t>
  </si>
  <si>
    <t>Cole-Dai, J (corresponding author), Ohio State Univ, Byrd Polar Res Ctr, Columbus, OH 43210 USA.</t>
  </si>
  <si>
    <t>Cole-Dai, Jihong/B-2510-2009; Mosley-Thompson, Ellen S/Z-2100-2018</t>
  </si>
  <si>
    <t>Cole-Dai, Jihong/0000-0003-0921-5916;</t>
  </si>
  <si>
    <t>1001-6538</t>
  </si>
  <si>
    <t>CHINESE SCI BULL</t>
  </si>
  <si>
    <t>Chin. Sci. Bull.</t>
  </si>
  <si>
    <t>10.1007/BF02909720</t>
  </si>
  <si>
    <t>212KU</t>
  </si>
  <si>
    <t>WOS:000081216500021</t>
  </si>
  <si>
    <t>Fichefet, T; Maqueda, MAM</t>
  </si>
  <si>
    <t>Modelling the influence of snow accumulation and snow-ice formation on the seasonal cycle of the Antarctic sea-ice cover</t>
  </si>
  <si>
    <t>WEDDELL-SEA; THICKNESS DISTRIBUTION; MIXED LAYER; ENERGY EXCHANGE; SOUTHERN-OCEAN; PACK-ICE; SENSITIVITY; CLIMATE; BELLINGSHAUSEN; PRECIPITATION</t>
  </si>
  <si>
    <t>Recent observational and numerical studies of the maritime snow cover in the Antarctic suggest that snow on top of sea ice plays a major role in shaping the seasonal growth and decay of the ice pack in the Southern Ocean. Here, we make a quantitative assessment of the importance of snow accumulation in controlling the seasonal cycle of the ice cover with a coupled snow-sea-ice-upper-ocean model. The model takes into account snow and ice sublimation and snow deposition by condensation. A parametrisation of the formation of snow ice (ice resulting from the freezing of a mixture of snow and seawater produced by flooding of the ice flees) is also included. Experiments on the sensitivity of the snow-sea-ice system to variations in the sublimation/condensation rate, the precipitation rate, and the amount of snowfall transported by the wind into leads are discussed. Although we focus on the model response in the Southern Hemisphere, results for the Arctic are also discussed in some cases to highlight the relative importance of the processes under study in both hemispheres. It is found that the snow loss by sublimation can account for the removal of 0.45 m of snow per year in the Antarctic and that this loss significantly affects the total volume of snow ice. A precipitation decrease of 50% is conducive to large reductions in the Antarctic snow and snow-ice volumes, but it leads only to an 8% decrease in the annual mean ice volume. The Southern Ocean ice pack is more sensitive to increases in precipitation. For precipitation rates 1.5 times larger than the control ones, the annual mean snow, ice, and snow-ice volumes augment by 30, 20, and 180%, respectively. It is also found that the transfer to the ocean of as much as 50% of the precipitating snow as a result of wind transport has almost negligible effects on the total ice volume. All the experiments exhibit a marked geographical contrast in the ice-cover response, with a much larger sensitivity in the western sector of the Southern Ocean than in the eastern sector. Our results suggest that snow-related processes are of secondary importance for determining the sensitivity of the Arctic sea ice to environmental changes but that these processes could have an important part to play in the response of the Antarctic sea-ice cover to future, or current, climatic changes.</t>
  </si>
  <si>
    <t>Catholic Univ Louvain, Inst Astron &amp; Geophys G Lemaitre, B-1348 Louvain, Belgium; Univ Keele, Dept Math, Keele ST5 5BG, Staffs, England</t>
  </si>
  <si>
    <t>Universite Catholique Louvain; Keele University</t>
  </si>
  <si>
    <t>Catholic Univ Louvain, Inst Astron &amp; Geophys G Lemaitre, B-1348 Louvain, Belgium.</t>
  </si>
  <si>
    <t>fichefet@astr.ucl.ac.be</t>
  </si>
  <si>
    <t>Maqueda, Miguel Angel Morales/AAJ-8138-2020</t>
  </si>
  <si>
    <t>1432-0894</t>
  </si>
  <si>
    <t>10.1007/s003820050280</t>
  </si>
  <si>
    <t>188UQ</t>
  </si>
  <si>
    <t>WOS:000079867400002</t>
  </si>
  <si>
    <t>Worby, AP; Griffin, PW; Lytle, VI; Massom, RA</t>
  </si>
  <si>
    <t>On the use of electromagnetic induction sounding to determine winter and spring sea ice thickness in the Antarctic</t>
  </si>
  <si>
    <t>sea ice thickness; electromagnetic induction; Antarctica</t>
  </si>
  <si>
    <t>SUMMER; SYSTEM; BRINE</t>
  </si>
  <si>
    <t>The suitability of using a portable electromagnetic induction (EMI) sounding device for determining sea ice thickness under winter and spring conditions in the Antarctic is evaluated. Ice thickness estimates from the instrument are compared with drilled measurements along a series of transects on East Antarctic pack ice and fast ice. The data indicate that the instrument estimates the undeformed sea ice thickness to within 10% of drilled thickness measurements; however, thickness estimates over deformed ice show much larger deviations. Sea ice conductivity profiles along each transect were calculated using ice core salinity data and ice-snow interface temperatures. The analysis indicates that first-year Antarctic sea ice generally has a higher conductivity (35-75 mS m(-1)) than reported for Arctic sea ice. However, this does not adversely affect the EMI sounding technique for determining sea ice thickness as this conductivity is still significantly less than for seawater, and the ice effectively remains transparent to the EM field. The EMI instrument used in this experiment was fitted with an ice thickness processing module (PM) which provided accurate estimates of sea ice thickness once correctly calibrated. The results from these preliminary experiments over winter and spring Antarctic sea ice indicate that EMI sounding has great potential to provide thickness data over the undeformed component of the Antarctic pack ice at this time of year. (C) 1999 Elsevier Science B.V. All rights reserved.</t>
  </si>
  <si>
    <t>Antarctic CRC, Hobart, Tas 7001, Australia; Australian Antarctic Div, Kingston, Tas 7050, Australia; Univ Tasmania, Inst Antarctic &amp; So Ocean Studies, Hobart, Tas 7001, Australia</t>
  </si>
  <si>
    <t>Worby, AP (corresponding author), Antarctic CRC, POB 252-80, Hobart, Tas 7001, Australia.</t>
  </si>
  <si>
    <t>Worby, Anthony P/A-2373-2012</t>
  </si>
  <si>
    <t>Massom, Robert/0000-0003-1533-5084</t>
  </si>
  <si>
    <t>10.1016/S0165-232X(99)00003-8</t>
  </si>
  <si>
    <t>203GN</t>
  </si>
  <si>
    <t>WOS:000080700100004</t>
  </si>
  <si>
    <t>Moraga, J; Valle-Levinson, A; Olivares, J</t>
  </si>
  <si>
    <t>Hydrography and geostrophy around Easter Island</t>
  </si>
  <si>
    <t>TROPICAL NORTH-ATLANTIC; SALT FINGERS; THERMOHALINE STAIRCASE; MICROSTRUCTURE; OCEAN; WATER</t>
  </si>
  <si>
    <t>A series of hydrographic stations north and south of Easter Island (27 degrees 10'S, 109 degrees 20'W), Chile, were sampled between 22 and 23 May, 1994. The hydrography measured was consistent with basin-scale studies and showed a surface mixed layer that ranged between 80 and 115 m depth and had temperature and salinity values typical of autumn subtropical waters (22 degrees C in temperature and 35.85 in salinity). The hydrography indicated the presence of two water masses in the vicinity of the island: the eastern South Pacific Central Water and the Antarctic intermediate Water. Nutrient concentrations in general were lowest at the surface, over a layer that was deeper than the density mixed layer, and increased with depth. The appearance of salt fingers within the eastern South Pacific Central water mass was suggested by the positive vertical gradients of temperature and salinity, by the rough steps in the temperature and salinity profiles, and by the low and positive density ratios combined with Turner angles between 70 degrees and 80 degrees. The density field indicated the development of geostrophic flows that were consistent with the eastern portion of the subtropical gyre of the South Pacific and with the surface dynamic topography of the period of observations. Due to the presence of the island, the large-scale north-northwestward geostrophic flows were reversed at spatial scales comparable to the size of the island. (C) 1999 Elsevier Science Ltd. All rights reserved.</t>
  </si>
  <si>
    <t>Old Dominion Univ, Ctr Coastal Phys Oceanog, Norfolk, VA 23529 USA; Univ Catolica Norte, Fac Ciencias Mar, Coquimbo, Chile</t>
  </si>
  <si>
    <t>Old Dominion University; Universidad Catolica del Norte</t>
  </si>
  <si>
    <t>Valle-Levinson, A (corresponding author), Old Dominion Univ, Ctr Coastal Phys Oceanog, Norfolk, VA 23529 USA.</t>
  </si>
  <si>
    <t>Valle, Arnoldo/0000-0002-3852-0971</t>
  </si>
  <si>
    <t>10.1016/S0967-0637(98)00083-1</t>
  </si>
  <si>
    <t>180TY</t>
  </si>
  <si>
    <t>WOS:000079402300008</t>
  </si>
  <si>
    <t>Kogarko, LN; Yaguts, E</t>
  </si>
  <si>
    <t>Isotopic heterogeneity of East Antarctic mantle</t>
  </si>
  <si>
    <t>CLINOPYROXENE</t>
  </si>
  <si>
    <t>VI Vernadskii Inst Geochem &amp; Analyt Chem, Moscow 117975, Russia</t>
  </si>
  <si>
    <t>Russian Academy of Sciences; Vernadsky Institute of Geochemistry &amp; Analytical Chemistry</t>
  </si>
  <si>
    <t>Kogarko, LN (corresponding author), VI Vernadskii Inst Geochem &amp; Analyt Chem, Moscow 117975, Russia.</t>
  </si>
  <si>
    <t>Kogarko, Lia N/P-6337-2016</t>
  </si>
  <si>
    <t>Kogarko, Lia/0000-0001-6306-9038</t>
  </si>
  <si>
    <t>290ZT</t>
  </si>
  <si>
    <t>WOS:000085708400027</t>
  </si>
  <si>
    <t>Quesada, A; Vincent, WF; Lean, DRS</t>
  </si>
  <si>
    <t>Community and pigment structure of Arctic cyanobacterial assemblages: the occurrence and distribution of UV-absorbing compounds</t>
  </si>
  <si>
    <t>Arctic; cyanobacterium; pigment; ultraviolet; polar; absorbance</t>
  </si>
  <si>
    <t>ANTARCTIC CYANOBACTERIA; ISLAND; PHOTOSYNTHESIS; ENVIRONMENT; RADIATION; FIXATION</t>
  </si>
  <si>
    <t>Three groups uf cyanobacterial communities were widely distributed ill the benthic environment of lakes, ponds and streams on Ellesmere Island and Cornwallis Island in the Canadian High Arctic: (1) sheets or spherical colonies of Nostoc (up to 20 mm diameter): (2) biofilms up to 7 mm thick, dominated almost exclusively by Oscillatoria; (3) microbial mars up to 8 mm thick containing several taxa, particularly Scytonema and Phormidium. The abundance of heterocystous genera (communities 1 and 3) implies that N-2 fixation plays an important role in the nitrogen economy of these ecosystems. Most of the communities were rich in pigments absorbing in the UV-blue end of the spectrum, such as scytonemin and mycosporine-like amino acids. Spectroradiometric analyses of sections of the communities showed that short wavelength radiation did not reach the bottom layer where phycobiliprotein-rich cells were located. This lower community experienced low irradiance in the photosynthetically active radiation band (400-700 nm), restricted to the wavelengths of the yellow-red waveband (550-650 nm). The surface screening of high energy wavelengths may confer an adaptive advantage to these communities which grow under continuous light during the polar summer. (C) 1999 Federation of European Microbiological Societies. Published by Elsevier Science B.V. All rights reserved.</t>
  </si>
  <si>
    <t>Univ Autonoma Madrid, Dept Biol, E-28049 Madrid, Spain; Univ Laval, Ctr Etud Nord, Dept Biol, St Foy, PQ G1K 7P4, Canada; Univ Ottawa, Dept Biol, Ottawa, ON K1N 6N5, Canada</t>
  </si>
  <si>
    <t>Autonomous University of Madrid; Laval University; University of Ottawa</t>
  </si>
  <si>
    <t>Quesada, A (corresponding author), Univ Autonoma Madrid, Dept Biol, E-28049 Madrid, Spain.</t>
  </si>
  <si>
    <t>Vincent, Warwick/AAH-6152-2019; Vincent, Warwick F/C-9522-2009; Quesada, Antonio/L-2430-2013</t>
  </si>
  <si>
    <t>Vincent, Warwick/0000-0001-9055-1938; Quesada, Antonio/0000-0002-8913-5993</t>
  </si>
  <si>
    <t>10.1016/S0168-6496(98)00114-7</t>
  </si>
  <si>
    <t>185BT</t>
  </si>
  <si>
    <t>WOS:000079648800002</t>
  </si>
  <si>
    <t>Crozier, RH; Agapow, PM; Pedersen, K</t>
  </si>
  <si>
    <t>Towards complete biodiversity assessment: an evaluation of the subterranean bacterial communities in the Oklo region of the sole surviving natural nuclear reactor</t>
  </si>
  <si>
    <t>conservation genetics; subterranean bacteria; molecular biodiversity; ribosomal DNA sequence; molecular phylogeny; Oklo natural nuclear reactor</t>
  </si>
  <si>
    <t>ANTARCTIC SEA-ICE; MICROBIAL DIVERSITY; GENETIC DIVERSITY; FISSION REACTOR; DNA; NUMBER; CONSERVATION; PHYLOGENY; SOIL; CONTAMINATION</t>
  </si>
  <si>
    <t>Groundwater bacterial rRNA sequences extracted from the natural nuclear reactor region of Gabon are used to demonstrate the application of phylogenetic methods to biodiversity assessment. Clones were provisionally placed in 'genera' using either the genus of the closest named EMBL entry, or by grouping clones at least 97.5% identical. The community is small, with 24 putative genera under the 'closest-match' criterion and an estimated number of 30.9 (25.8-49.7); estimated genus sample coverage is therefore 78% (48.3-92.8%). There were 36 genera under the 'threshold' criterion, with an estimated number of 87.2 (52.6-193.8), and sample coverage 31.3% (18.6-68.4%) Molecular biodiversity was estimated for all site combinations using genetic diversity (GD: probability of at least two alleles being present in the sequences preserved;ed), and confidence limits derived by standard phylogenetic bootstrap sampling from the sequence dataset. Some combinations with fewer sites preserved GD as well as combinations with larger numbers, although GD is maximised by preserving as many sites as possible depending on choice of site. Some sire combinations did not differ significantly in GD preserved, and the conservation value of a site depends on the others selected. The strongest predictor of molecular biodiversity is the observed number of 'closet-match' genera, supporting the higher taxon richness concept for biodiversity. The similarities between sites, and hence the molecular biodiversity characteristics of combinations of them, was associated with similarity in physical characteristics, the availability of organic carbon, and depth below the surface. (C) 1999 Federation of European Microbiological Societies. Published by Elsevier Science B.V. All rights reserved.</t>
  </si>
  <si>
    <t>La Trobe Univ, Ctr Conservat Genet, Bundoora, Vic 3083, Australia; La Trobe Univ, Dept Biochem &amp; Genet, Bundoora, Vic 3083, Australia; Univ Gothenburg, Dept Mol &amp; Cell Biol, Microbiol Sect, S-40530 Gothenburg, Sweden</t>
  </si>
  <si>
    <t>La Trobe University; La Trobe University; University of Gothenburg</t>
  </si>
  <si>
    <t>La Trobe Univ, Ctr Conservat Genet, Bundoora, Vic 3083, Australia.</t>
  </si>
  <si>
    <t>r.crozier@gen.latrobe.edu.au</t>
  </si>
  <si>
    <t>Crozier, Ross H/C-6773-2009; Agapow, Paul-Michael/I-2702-2017</t>
  </si>
  <si>
    <t>WOS:000079648800003</t>
  </si>
  <si>
    <t>Miyamoto, Y; Tanimura, A</t>
  </si>
  <si>
    <t>Behavior of the Antarctic fish Trematomus bernacchii (Pisces, Nototheniidae) beneath the sea ice near the Antarctic Station Syowa using acoustic biotelemetry</t>
  </si>
  <si>
    <t>FISHERIES SCIENCE</t>
  </si>
  <si>
    <t>migration; ultrasonic pinger; Trematomus bernacchii; Antarctica</t>
  </si>
  <si>
    <t>Tokyo Univ Fisheries, Dept Marine Sci &amp; Technol, Minato Ku, Tokyo 1088477, Japan; Mie Univ, Fac Bioresources, Tsu, Mie 5148507, Japan</t>
  </si>
  <si>
    <t>Tokyo University of Marine Science &amp; Technology; Mie University</t>
  </si>
  <si>
    <t>Miyamoto, Y (corresponding author), Tokyo Univ Fisheries, Dept Marine Sci &amp; Technol, Minato Ku, Konan, Tokyo 1088477, Japan.</t>
  </si>
  <si>
    <t>MIYAMOTO, Yoshinori/O-1920-2014</t>
  </si>
  <si>
    <t>JAPAN SOC SCI FISHERIES SCI</t>
  </si>
  <si>
    <t>C/O TOKYO UNIV FISHERIES, 5-7, 4-CHOME, KONAN, MINATO-KU, TOKYO, 108, JAPAN</t>
  </si>
  <si>
    <t>0919-9268</t>
  </si>
  <si>
    <t>FISHERIES SCI</t>
  </si>
  <si>
    <t>Fish. Sci.</t>
  </si>
  <si>
    <t>10.2331/fishsci.65.315</t>
  </si>
  <si>
    <t>223QP</t>
  </si>
  <si>
    <t>WOS:000081852000026</t>
  </si>
  <si>
    <t>Gibson, JAE; Trull, T; Nichols, PD; Summons, RE; McMinn, A</t>
  </si>
  <si>
    <t>Sedimentation of 13C-rich organic matter from Antarctic sea-ice algae:: A potential indicator of past sea-ice extent</t>
  </si>
  <si>
    <t>ISOTOPIC COMPOSITION; GROWTH-RATE; DELTA-C-13; CARBON; FRACTIONATION; OCEAN; SUMMER; C-13; CO2</t>
  </si>
  <si>
    <t>Organic matter collected in sediment traps at a nearshore marine site in Prydz Bay, East Antarctica, displayed a pronounced seasonal variation in carbon isotopes (expressed as delta(13)C(OM) ). Winter values were fairly constant near -20 parts per thousand before increasing to above -15 parts per thousand in response to inputs from sea-ice algae in early spring. Particulate organic matter obtained directly from sea-ice cores exhibited very high delta(13)C(OM) values, typically -15 parts per thousand but as much as -8 parts per thousand, much above the values of organic matter suspended in the water column below the sea ice. The sea-ice algae contributed similar to 20% of the annual flux of organic matter, and the delta(13)C(OM) measurements from a sediment core at the site suggest that this value is representative of the recent past. All of these carbon isotopic compositions are considerably above the extremely delta(13)C-depleted compositions (generally -25 parts per thousand to 30 parts per thousand) that have been found in many other Antarctic and Southern Ocean studies. The elevated delta(13)C(OM) values derive from considerable depletion of dissolved carbon dioxide and nutrients within the sea ice and to a lesser extent within stratified surface waters induced by melting sea ice. Thus, elevated delta(13)C(OM) values in Southern Ocean sediment cores may indicate the presence of sea-ice-hosted algae, rather than temperature or surface CO2 pressure (pCO(2)) variations.</t>
  </si>
  <si>
    <t>Univ Tasmania, Antarctic Cooperat Res Ctr, Hobart, Tas 7001, Australia; Commonwealth Sci &amp; Ind Res Org, Div Marine Res, Hobart, Tas 7001, Australia; Australian Geol Survey Org, Canberra, ACT 2601, Australia; Univ Tasmania, Inst Antarctic &amp; So Ocean Studies, Hobart, Tas 7001, Australia</t>
  </si>
  <si>
    <t>University of Tasmania; Commonwealth Scientific &amp; Industrial Research Organisation (CSIRO); Geoscience Australia; University of Tasmania</t>
  </si>
  <si>
    <t>Summons, Roger Everett/AAL-3789-2020; Trull, Tom W/B-7028-2014; McMinn, Andrew/A-9910-2008; Nichols, Peter D/C-5128-2011</t>
  </si>
  <si>
    <t>10.1130/0091-7613(1999)027&lt;0331:SOCROM&gt;2.3.CO;2</t>
  </si>
  <si>
    <t>185LK</t>
  </si>
  <si>
    <t>WOS:000079670300011</t>
  </si>
  <si>
    <t>Hearty, PJ; Kindler, P; Cheng, H; Edwards, RL</t>
  </si>
  <si>
    <t>A +20 m middle Pleistocene sea-level highstand (Bermuda and the Bahamas) due to partial collapse of Antarctic ice</t>
  </si>
  <si>
    <t>GEOLOGY; STRATIGRAPHY; LIMESTONES; ISLANDS; SHEET</t>
  </si>
  <si>
    <t>Marine deposits at +20 +/- 3 m on the tectonically stable coastlines of Bermuda and the Bahamas support the hypothesis of a partial collapse of the Antarctic ice sheet during the middle Pleistocene. Beach sediments fill a sea cave at +22 m in Bermuda, and horizontal, fenestrae-filled beds crop out on platforms at two sites as high as +21 m in Eleuthera, Bahamas. Carbonate beach sands are bound by an early generation of isopachous fibrous cement that is characteristic of a phreatic marine environment. Amino acid racemization and TIMS (thermal-ionization mass spectrometry) dates constrain the age of the deposits to between 390 and 550 ha, while proxy evidence supports a correlation with oxygen isotope stage 11. This direct geologic evidence of a 20% decrease in polar ice during the middle Pleistocene has important implications for the stability of ice sheets during warm interglaciations.</t>
  </si>
  <si>
    <t>Univ Geneva, Dept Geol &amp; Paleontol, CH-1211 Geneva 4, Switzerland; Univ Minnesota, Dept Geol &amp; Geophys, Minneapolis, MN 55455 USA</t>
  </si>
  <si>
    <t>University of Geneva; University of Minnesota System; University of Minnesota Twin Cities</t>
  </si>
  <si>
    <t>Chertsey 112,Box N-337, Nassau, Bahamas.</t>
  </si>
  <si>
    <t>rockdoc@bahamas.net.bs</t>
  </si>
  <si>
    <t>Edwards, R. Lawrence/I-3124-2014; Edwards, Richard/JAX-3732-2023; CHENG, HAI/H-3413-2017</t>
  </si>
  <si>
    <t>CHENG, HAI/0000-0002-5305-9458</t>
  </si>
  <si>
    <t>10.1130/0091-7613(1999)027&lt;0375:AMMPSL&gt;2.3.CO;2</t>
  </si>
  <si>
    <t>WOS:000079670300022</t>
  </si>
  <si>
    <t>Sun, HJ; Friedmann, EI</t>
  </si>
  <si>
    <t>Growth on geological time scales in the Antarctic cryptoendolithic microbial community</t>
  </si>
  <si>
    <t>GEOMICROBIOLOGY JOURNAL</t>
  </si>
  <si>
    <t>Antarctica; biological weathering; cold desert; cryptoendolithic; exfoliation; growth rate; lichen; microbial growth; rock crust; Ross Desert</t>
  </si>
  <si>
    <t>COLD DESERTS; HOT; MICROORGANISMS; LIFE</t>
  </si>
  <si>
    <t>In the process of biogenous weathering of Beacon sandstone in the McMurdo Dry Valleys (Ross Desert), Antarctica, periods of microbial growth, on the time scale of 10(3)-10(4) years, alternate with sudden exfoliation events. The present study addressed the question of whether microbial growth is continuous between exfoliation events or whether each exfoliation is followed by a period of comparatively rapid growth and then an extended period of steady state. The color intensity (Munsell lightness value) of the rock surface is an indicator of relative age of the crust within the exfoliation cycle, permitting measurement of changes in microbial biomass on a geological time scale. Results indicate that microbial growth is continuous and that exfoliation occurs when the microbial biomass reaches the carrying capacity of the cryptoendolithic habitat.</t>
  </si>
  <si>
    <t>Florida State Univ, Polar Desert Res Ctr, Tallahassee, FL USA; Florida State Univ, Dept Biol Sci, Tallahassee, FL 32306 USA</t>
  </si>
  <si>
    <t>State University System of Florida; Florida State University; State University System of Florida; Florida State University</t>
  </si>
  <si>
    <t>CALTECH, Jet Prop Lab, Mail Stop 183-301, Pasadena, CA 91109 USA.</t>
  </si>
  <si>
    <t>hsun@mail1.jpl.nasa.gov</t>
  </si>
  <si>
    <t>530 WALNUT STREET, STE 850, PHILADELPHIA, PA 19106 USA</t>
  </si>
  <si>
    <t>0149-0451</t>
  </si>
  <si>
    <t>1521-0529</t>
  </si>
  <si>
    <t>GEOMICROBIOL J</t>
  </si>
  <si>
    <t>Geomicrobiol. J.</t>
  </si>
  <si>
    <t>Environmental Sciences; Geosciences, Multidisciplinary</t>
  </si>
  <si>
    <t>Environmental Sciences &amp; Ecology; Geology</t>
  </si>
  <si>
    <t>219EK</t>
  </si>
  <si>
    <t>WOS:000081594800004</t>
  </si>
  <si>
    <t>Donohue, KA; Hufford, GE; McCartney, MS</t>
  </si>
  <si>
    <t>Sources and transport of the deep western boundary current east of the Kerguelen Plateau</t>
  </si>
  <si>
    <t>BASIN</t>
  </si>
  <si>
    <t>East of the Kerguelen Plateau, a deep western boundary current in the Australian-Antarctic Basin brings cold dense waters north from the margins of Antarctica. Geostrophic velocities referenced to acoustic Doppler current profiler data, both shipboard and lowered, suggest the Row is unidirectional throughout the water column with estimated northwestward transport below potential temperature 1 degrees C of 28+/-7 x 10(6) m(3)s(-1) and 49+/-9 x 10(6) m(3)s(-1), respectively. Hydrographic and acoustic Doppler current profiler data show that the deep boundary current is supplied by northward flow emerging from the confluence of westward flow along the Antarctic continental slope and eastward flow of Weddell Basin waters through the Princess Elizabeth Trough to the south of the Kerguelen Plateau.</t>
  </si>
  <si>
    <t>Univ Hawaii, Honolulu, HI 96822 USA; Woods Hole Oceanog Inst, Woods Hole, MA 02543 USA</t>
  </si>
  <si>
    <t>University of Hawaii System; Woods Hole Oceanographic Institution</t>
  </si>
  <si>
    <t>Donohue, KA (corresponding author), 1000 Pope Rd, Honolulu, HI 96822 USA.</t>
  </si>
  <si>
    <t>McCartney, Michael/A-3922-2009</t>
  </si>
  <si>
    <t>McCartney, Michael/0000-0002-3413-7166</t>
  </si>
  <si>
    <t>APR 1</t>
  </si>
  <si>
    <t>10.1029/1999GL900099</t>
  </si>
  <si>
    <t>182AW</t>
  </si>
  <si>
    <t>WOS:000079477200011</t>
  </si>
  <si>
    <t>Newsham, KK; Greenslade, PD; Kennedy, VH; McLeod, AR</t>
  </si>
  <si>
    <t>Elevated UV-B radiation incident on Quercus robur leaf canopies enhances decomposition of resulting leaf litter in soil</t>
  </si>
  <si>
    <t>GLOBAL CHANGE BIOLOGY</t>
  </si>
  <si>
    <t>decomposition; leaf litter; Quercus robur; saprotrophic fungi; stratospheric ozone depletion; UV-B radiation</t>
  </si>
  <si>
    <t>DYNAMICS; FORESTS; NITROGEN</t>
  </si>
  <si>
    <t>We examined whether the exposure of Quercus robur L. to elevated UV-B radiation (280-315 nm) during growth would influence leaf decomposition rate through effects on litter quality. Saplings were exposed for eight months at an outdoor facility in the UK to a 30% elevation above the ambient level of erythemally weighted UV-B radiation under UV-B treatment arrays of fluorescent lamps filtered with cellulose diacetate, which transmitted both UV-B and UV-A (315-400 nm) radiation. Saplings were exposed to elevated UV-A alone under control arrays of lamps filtered with polyester and to ambient radiation under unenergised arrays of lamps. Abscised leaves from saplings were enclosed in 1 mm(2) mesh nylon bags, placed in a Quercus-Fraxinus woodland and were sampled at 0.11, 0.53,1.10 and 1.33 years for dry weight loss, chemical composition and saprotrophic fungal colonization. At abscission, litters from UV-A control arrays had approximate to 7.5% higher lignin/nitrogen ratios than those from UV-B treatment and ambient arrays (P &lt; 0.06). Dry weight loss of leaves treated with elevated UV-B radiation during growth was 2.5% and 5% greater than that of leaves from UV-A control arrays at 0.53 and 1.33 years, respectively. Litter samples from UV-B treatment arrays lost more nitrogen and phosphorus than samples from ambient arrays and more carbon than samples from UV-A control arrays. The annual fractional weight loss of litter from UV-B treatment arrays was 8% and 6% greater than that of litter from UV-A control and ambient arrays, respectively. Regression analyses indicated that the increased decomposition rate of UV-B treated litters was associated with enhanced colonization of leaves by basidiomycete fungi, the most active members of the soil fungal community, and that the frequency of these fungi was negatively associated with the initial lignin/nitrogen ratio of leaves.</t>
  </si>
  <si>
    <t>Inst Terr Ecol, Huntingdon PE17 2LS, England; Inst Terr Ecol, Merlewood Res Stn, Grange Over Sands LA11 6JU, Cumbria, England</t>
  </si>
  <si>
    <t>UK Centre for Ecology &amp; Hydrology (UKCEH); UK Centre for Ecology &amp; Hydrology (UKCEH)</t>
  </si>
  <si>
    <t>British Antarctic Survey, High Cross, Cambridge CB3 0ET, England.</t>
  </si>
  <si>
    <t>k.newsham@bas.ac.uk</t>
  </si>
  <si>
    <t>Newsham, Kevin K/C-4192-2011</t>
  </si>
  <si>
    <t>1354-1013</t>
  </si>
  <si>
    <t>1365-2486</t>
  </si>
  <si>
    <t>GLOBAL CHANGE BIOL</t>
  </si>
  <si>
    <t>Glob. Change Biol.</t>
  </si>
  <si>
    <t>10.1046/j.1365-2486.1999.00231.x</t>
  </si>
  <si>
    <t>Biodiversity Conservation; Ecology; Environmental Sciences</t>
  </si>
  <si>
    <t>183NV</t>
  </si>
  <si>
    <t>WOS:000079560400003</t>
  </si>
  <si>
    <t>Dasgupta, S; Sengupta, P; Pal, S; Fukuoka, M</t>
  </si>
  <si>
    <t>Evidence of superposed metamorphism from the Gokavaram area, Eastern Ghats Belt, and its relation with the Kemp Land Coast, East Antarctica</t>
  </si>
  <si>
    <t>GONDWANA RESEARCH</t>
  </si>
  <si>
    <t>Eastern Ghats; Indo-Antarctic correlation; Pan-African metamorphism</t>
  </si>
  <si>
    <t>P-T PATH; SAPPHIRINE GRANULITES; U-PB; SPINEL GRANULITES; MINERAL REACTIONS; MOBILE-BELT; INDIA; GARNET; COMPLEX; SYSTEM</t>
  </si>
  <si>
    <t>In this paper, we compare the petrological histories of the Kemp Land Coast (east Antarctica) and Gokavaram area (Eastern Ghats), that were supposed to have been juxtaposed. The area around Gokavaram is dominated by different varieties of paragneisses (pelitic, quartzofeldspathic and calcareous composition) with relatively minor amounts of orthogneisses (mafic, enderbitic and granitic composition). The rocks were involved in three major phases of deformation and were finally affected by localised shear movement. On the basis of reaction textures, well preserved in high Mg-Al granulites and calc-silicate granulites, and geothermobarometric data we deduce a polymetamorphic evolution of the rocks. Following an early M-1 metamorphism culminating at 9.2-9.4 kbar, &gt; 950 degrees C, the rocks cooled nearly isobarically down to 850 degrees C. During a subsequent M-2 metamorphism, near isothermal decompression to 5-6 kbar occurred. This was followed by near isobaric cooling down to 600-650 degrees C. M-3 is a weak amphibolite facies overprint, largely restricted to late shears, which involved hydration as well. Available radiometric data from this area can be interpreted in terms of partial resetting of U-Pb systematics in older sphenes due to M-3 metamorphism at ca. 550 Ma. Despite the absence of sufficient isotopic data on the Eastern Chats granulites, we document a remarkable similarity in the petrological history of the two supposedly erstwhile neighbours.</t>
  </si>
  <si>
    <t>Jadavpur Univ, Dept Geol Sci, Calcutta 700032, W Bengal, India; Hiroshima Univ, Dept Earth &amp; Planetary Sci, Hiroshima, Japan</t>
  </si>
  <si>
    <t>Jadavpur University; Hiroshima University</t>
  </si>
  <si>
    <t>Dasgupta, S (corresponding author), Jadavpur Univ, Dept Geol Sci, Calcutta 700032, W Bengal, India.</t>
  </si>
  <si>
    <t>Sengupta, Pinaki/AFS-0906-2022</t>
  </si>
  <si>
    <t>Sengupta, Pinaki/0000-0002-6914-7057</t>
  </si>
  <si>
    <t>1342-937X</t>
  </si>
  <si>
    <t>GONDWANA RES</t>
  </si>
  <si>
    <t>Gondwana Res.</t>
  </si>
  <si>
    <t>10.1016/S1342-937X(05)70147-7</t>
  </si>
  <si>
    <t>208KZ</t>
  </si>
  <si>
    <t>WOS:000080991300008</t>
  </si>
  <si>
    <t>Jackson, GD; Moltschaniwskyj, NA</t>
  </si>
  <si>
    <t>Analysis of precision in statolith derived age estimates of the tropical squid Photololigo (Cephalopoda: Loliginidae)</t>
  </si>
  <si>
    <t>Photololigo sp.; squid; statoliths; age and growth; increments; precision</t>
  </si>
  <si>
    <t>WESTERN BERING-SEA; FINNED SQUID; INCREMENT ANALYSIS; STOCK STRUCTURE; GROWTH; MICROSTRUCTURE; MATURATION; OEGOPSIDA; SHELF; OMMASTREPHIDAE</t>
  </si>
  <si>
    <t>Precision in statolith derived age estimates among readers experienced in statolith age analysis was determined for both juvenile and adult individuals of the tropical loliginid squid Photololigo off Queensland, Australia. Juvenile age estimates were compared between two readers, while adult age estimates were compared among three readers. There was no reader effect in the age estimates of juveniles, but there was a trend of increasing age estimates with consecutive replicate counts for each reader. In the case of adult squid there was a statistically significant difference in age readings among readers, with the average greatest difference of 9.7 increments. However, this difference represented 5.6% of the lifespan of the oldest individual and 6.9% of the youngest aged adult. These differences were well within the 10% requirement of replicate counts in previous studies. Furthermore the growth curves generated on age estimates from each reader did not differ significantly. (C) 1999 International Council for the Exploration of the Sea.</t>
  </si>
  <si>
    <t>James Cook Univ N Queensland, Dept Marine Biol, Townsville, Qld 4811, Australia</t>
  </si>
  <si>
    <t>Jackson, GD (corresponding author), Univ Tasmania, Inst Antarctic &amp; So Ocean Studies, PO Box 25277, Hobart, Tas 7001, Australia.</t>
  </si>
  <si>
    <t>Jackson, George D/AAI-7315-2021; Moltschaniwskyj, Natalie/D-2048-2012; Moltschaniwskyj, Natalie/AAB-7236-2019</t>
  </si>
  <si>
    <t>Moltschaniwskyj, Natalie/0000-0001-9709-9876</t>
  </si>
  <si>
    <t>10.1006/jmsc.1998.0436</t>
  </si>
  <si>
    <t>191HT</t>
  </si>
  <si>
    <t>WOS:000080017600014</t>
  </si>
  <si>
    <t>White, D; Beyer, L</t>
  </si>
  <si>
    <t>Pyrolysis gas chromatography mass spectrometry and pyrolysis gas chromatography flame ionization detection analysis of three Antarctic soils</t>
  </si>
  <si>
    <t>JOURNAL OF ANALYTICAL AND APPLIED PYROLYSIS</t>
  </si>
  <si>
    <t>pyrolysis; Antarctic soil; podzolization; humification; soil formation</t>
  </si>
  <si>
    <t>COASTAL CONTINENTAL ANTARCTICA; ORGANIC-MATTER; CASEY STATION; WILKES LAND</t>
  </si>
  <si>
    <t>The research presented herein used pyrolysis-gas chromatography/mass spectrometry (GC/MS) to characterize potential parent organic materials for three Antarctic podzols and statistically compare the parent materials to soil organic matter (SOM) depth profiles. Pyrolysis-GC/flame ionization detection (FID) was used to quantify the relative percentage of a suite of biochemical compounds in the various horizons of three soils as well as potential parent organic materials consisting of mosses, algae and penguin guano. Pyrolysis-GC/FID was not used to classify and quantify all compounds in the soil pyrolysate, nor could it be used to describe the full nature of the soil organic material prior to pyrolysis. The method did, however, provide a powerful tool for correlating the various soils with parent organic materials and with each other in order to elucidate SOM transformation and translocation processes. The data suggested a general migration of polysaccharides and probably some amino carbohydrates in the Antarctic podzols and an impact of soil texture on preservation and transformation of the organic matter. Recent vegetation also appeared to affect the SOM in the topsoils to a greater extent than the organic matter derived from the parent materials of penguin guano. (C) 1999 Elsevier Science B.V. All rights reserved.</t>
  </si>
  <si>
    <t>Univ Alaska Fairbanks, Coll Sci Engn &amp; Math, Fairbanks, AK 99775 USA; Univ Kiel, Inst Soil Sci, D-24098 Kiel, Germany</t>
  </si>
  <si>
    <t>University of Alaska System; University of Alaska Fairbanks; University of Kiel</t>
  </si>
  <si>
    <t>Univ Alaska Fairbanks, Coll Sci Engn &amp; Math, 248 Duckering Bld, Fairbanks, AK 99775 USA.</t>
  </si>
  <si>
    <t>ffdmw@uaf.edu</t>
  </si>
  <si>
    <t>0165-2370</t>
  </si>
  <si>
    <t>1873-250X</t>
  </si>
  <si>
    <t>J ANAL APPL PYROL</t>
  </si>
  <si>
    <t>J. Anal. Appl. Pyrolysis</t>
  </si>
  <si>
    <t>10.1016/S0165-2370(99)00003-0</t>
  </si>
  <si>
    <t>Chemistry, Analytical; Energy &amp; Fuels; Engineering, Chemical</t>
  </si>
  <si>
    <t>Chemistry; Energy &amp; Fuels; Engineering</t>
  </si>
  <si>
    <t>183TT</t>
  </si>
  <si>
    <t>WOS:000079570100005</t>
  </si>
  <si>
    <t>Vaughan, DG; Bamber, JL; Giovinetto, M; Russell, J; Cooper, APR</t>
  </si>
  <si>
    <t>Reassessment of net surface mass balance in Antarctica</t>
  </si>
  <si>
    <t>DRONNING-MAUD-LAND; SNOW-ACCUMULATION; SUBGLACIAL LAKES; EAST ANTARCTICA; ICE; MODEL; CLIMATE; INFORMATION; ATMOSPHERE; ALTIMETER</t>
  </si>
  <si>
    <t>Recent in situ measurements of surface mass balance and improved calculation techniques are used to produce an updated assessment of net surface mass balance over Antarctica. A new elevation model of Antarctica derived from ERS-1 satellite altimetry supplemented with conventional data was used to delineate the ice flow drainage basins across Antarctica. The areas of these basins were calculated using the recent digital descriptions of coastlines and grounding lines. The delineation of drainage basins was achieved using an automatic procedure, which gave similar results to earlier hand-drawn catchment basins. More than 1800 published and unpublished in situ measurements of net surface mass balance from Antarctica were collated and then interpolated. A net surface mass balance map was derived from passive microwave satellite data, being employed as a forcing field to control the interpolation of the sparse in situ observations. Basinwide integrals of net surface mass balance were calculated using tools available within a geographic information system. It is found that the integrated net surface mass balance over the conterminous grounded ice sheet is 1811 Gton yr(-1) (149 kg m(-2) yr(-1)), and over the entire continent (including ice shelves and their embedded ice rises) it is 2288 Gton yr(-1) (166 kg m(-2) yr(-1)). These values are around 18% and 7% higher than the estimates widely adopted at present. The uncertainty in these values is hard to estimate from the methodology alone, but the progression of estimates from early studies to the present suggests that around +/-5% uncertainty remains in the overall values. The results serve to confirm the great uncertainty in the overall contribution of the Antarctic Ice Sheet to recent and future global sea level rise even without a substantial collapse of the West Antarctic Ice Sheet.</t>
  </si>
  <si>
    <t>British Antarctic Survey, NERC, Cambridge CB3 0ET, England; Univ Bristol, Dept Geog, Bristol BS8 1TH, Avon, England; Univ Calgary, Dept Geog, Calgary, AB T2N 1N4, Canada; Univ Cambridge, Jesus Coll, Cambridge, England</t>
  </si>
  <si>
    <t>UK Research &amp; Innovation (UKRI); Natural Environment Research Council (NERC); NERC British Antarctic Survey; University of Bristol; University of Calgary; University of Cambridge</t>
  </si>
  <si>
    <t>d.vaughan@bas.ac.uk</t>
  </si>
  <si>
    <t>Bamber, Jonathan/C-7608-2011; Vaughan, David/C-8348-2011</t>
  </si>
  <si>
    <t>Bamber, Jonathan/0000-0002-2280-2819; Vaughan, David/0000-0002-9065-0570</t>
  </si>
  <si>
    <t>10.1175/1520-0442(1999)012&lt;0933:RONSMB&gt;2.0.CO;2</t>
  </si>
  <si>
    <t>182LJ</t>
  </si>
  <si>
    <t>WOS:000079500200002</t>
  </si>
  <si>
    <t>White, WB; Cherry, NJ</t>
  </si>
  <si>
    <t>Influence of the Antarctic circumpolar wave upon New Zealand temperature and precipitation during autumn-winter</t>
  </si>
  <si>
    <t>SEA-SURFACE TEMPERATURE; SOUTHERN OSCILLATION; ANOMALIES; CIRCULATION; ATMOSPHERE; PREDICTOR</t>
  </si>
  <si>
    <t>Autumn-winter temperature and precipitation records at 34 stations over New Zealand from 1982 to 1995 are found by empirical orthogonal function (EOF) analysis to fluctuate together with 3-6-yr quasi periodicity similar to that associated with the Antarctic Circumpolar Wave (ACW), which propagates slowly eastward past New Zealand in its global traverse around the Southern Ocean. By allowing these EOF time sequences to represent New Zealand temperature and precipitation indices, both the positive temperature index related to warm sea surface temperature (SST) anomalies around New Zealand and the positive precipitation index related to warm (cool) SST anomalies north and east (south and west) of New Zealand are found. These warm (cool) SST anomalies are associated with poleward (equatorward) meridional surface wind (MSW) anomalies, the same as observed in association with the ACW. When warm (cool) SST and poleward (equatorward) MSW anomalies are located north (south) of New Zealand, then anomalous low-level wind convergence occurs over New Zealand, and when they are located east (west) of New Zealand, then anomalous cyclonicity occurs over New Zealand, both during years of anomalously high autumn-winter precipitation over New Zealand. Regular eastward propagation of the ACW past New Zealand suggests that covarying SST and MSW anomalies (and New Zealand autumn-winter temperature and precipitation) can be predicted 1-2 yr into the future. The authors Lest for this by utilizing the eastward propagation of the ACW contained in the dominant extended EOF mode of SST anomalies upstream from New Zealand to predict SST indices in the western South Pacific that are linked statistically to New Zealand temperature and precipitation indices. At 0-yr lead, this statistical climate prediction system nowcasts the observed sign of New Zealand temperature (precipitation) indices 12 (12) years out of the 14-yr record, explaining 50% (62%) of the interannual variance for each index. Ar l-yr lead, it hindcasts the observed sign of New Zealand temperature (precipitation) indices 12 (13) years out the 14-yr record, explaining 24% (74%) of the interannual variance. At 2-yr lead, hindcasting is insignificant. This hindcast skill at l-yr lead suggests that prediction of interannual climate variability over New Zealand may depend more upon predicting the amplitude and phase of the ACW than upon predicting it for tropical ENSO.</t>
  </si>
  <si>
    <t>Univ Calif San Diego, Scripps Inst Oceanog, Phys Oceanog Res Div, La Jolla, CA 92093 USA; Lincoln Univ, Canterbury, New Zealand</t>
  </si>
  <si>
    <t>White, WB (corresponding author), Univ Calif San Diego, Scripps Inst Oceanog, Phys Oceanog Res Div, 9500 Gilman Dr, La Jolla, CA 92093 USA.</t>
  </si>
  <si>
    <t>10.1175/1520-0442(1999)012&lt;0960:IOTACW&gt;2.0.CO;2</t>
  </si>
  <si>
    <t>WOS:000079500200004</t>
  </si>
  <si>
    <t>Polonia, A; Brancolini, G; Torelli, L; Vera, E</t>
  </si>
  <si>
    <t>Structural variability at the active continental margin off southernmost Chile</t>
  </si>
  <si>
    <t>JOURNAL OF GEODYNAMICS</t>
  </si>
  <si>
    <t>Symposium SE28 Lithospheric Structure and Seismicity at Convergent Margins, at the European Geophysical Societies XXII General Assembly</t>
  </si>
  <si>
    <t>APR 21-25, 1997</t>
  </si>
  <si>
    <t>VIENNA, AUSTRIA</t>
  </si>
  <si>
    <t>RELATIVE PLATE MOTIONS; ANTARCTIC PENINSULA; CONVERGENT MARGIN; SOUTH-AMERICA; THRUST BELTS; SCOTIA SEA; RIDGE; EVOLUTION; ANDES; ARC</t>
  </si>
  <si>
    <t>Newly collected seismic reflection data offshore Southernmost Chile, between 54 degrees S and 57 degrees S, reveal the complex tectonic setting of this active continental margin. This region is still poorly known, because frequent bad weather conditions among these latitudes have prevented the acquisition of geological and geophysical data. Three main tectonic domains are clearly imaged south of the strait of Magellan, (1) The oceanic area of the Antarctic plate, where a 2 km thick and largely undeformed sedimentary section, rests on the oceanic basalts; (2) The subduction complex, formed by a relatively narrow accretionary wedge of highly deformed sediments and a thick forearc basin; (3) The seaward dipping continental backstop formed partly by the Patagonian Batholith and partly by the Paleo-Mesozoic subduction complex. The accretionary complex is related to the subduction of the Antarctic plate beneath Scotia plate which resumed after the collision between the Chile Trench and the Chile Ridge (10-14 Ma). The structural style of the subduction complex, such as structural vergence, width of the accretionary wedge, taper angle and deformation in the forearc basin, varies along the margin. Large taper values are related to narrow wedges and seaward vergent structures. Low tapers occur where deformation at the toe of the accretionary complex is spread over wide areas and is related both to landward and seaward vergent thrust faults. The parameters which control these structural variations are: thickness of the offscraped sedimentary section (variations in the depth of the decollement level); presence of overpressured fluids (the BSR is extraordinarily continuous where the landward vergence structures are well developed); configuration of the continental margin after the consumption of the Chilean mid oceanic ridge (14 Ma) and its related phase of tectonic erosion. presence of strike slip faults belonging to the South America-Scotia plate boundary system which could bound crustal blocks with different mechanical behaviour (i, e. Strait of Magellan-Lago Fagnano and Beagle channel faults). (C) 1999 Elsevier Science Ltd. All rights reserved.</t>
  </si>
  <si>
    <t>CNR, Ist Geol Marina, I-40129 Bologna, Italy; Osservatorio Geofis Sperimentale, I-36010 Trieste, Italy; Univ Parma, Dipartimento Sci Terra, I-43100 Parma, Italy; Univ Chile, Dept Geofis, Santiago, Chile</t>
  </si>
  <si>
    <t>Consiglio Nazionale delle Ricerche (CNR); Istituto di Scienze Marine (ISMAR-CNR); Istituto Nazionale di Oceanografia e di Geofisica Sperimentale; University of Parma; Universidad de Chile</t>
  </si>
  <si>
    <t>CNR, Ist Geol Marina, V Gobetti 101, I-40129 Bologna, Italy.</t>
  </si>
  <si>
    <t>alina@igm.bo.cnr.it</t>
  </si>
  <si>
    <t>Vera, Emilio/I-6309-2016; Polonia, Alina/F-4801-2018</t>
  </si>
  <si>
    <t>Vera, Emilio/0000-0003-1088-0470; Polonia, Alina/0000-0002-1700-453X; Torelli, Luigi/0000-0002-8694-9385</t>
  </si>
  <si>
    <t>0264-3707</t>
  </si>
  <si>
    <t>J GEODYN</t>
  </si>
  <si>
    <t>J. Geodyn.</t>
  </si>
  <si>
    <t>10.1016/S0264-3707(98)00003-9</t>
  </si>
  <si>
    <t>182DV</t>
  </si>
  <si>
    <t>WOS:000079484000004</t>
  </si>
  <si>
    <t>Hall, DL; Munakata, K; Yasue, S; Mori, S; Kato, C; Koyama, M; Akahane, S; Fujii, Z; Fujimoto, K; Humble, JE; Fenton, AG; Fenton, KB; Duldig, ML</t>
  </si>
  <si>
    <t>Gaussian analysis of two hemisphere observations of galactic cosmic ray sidereal anisotropies</t>
  </si>
  <si>
    <t>SOLAR-WIND INTERACTION; INTERSTELLAR-MEDIUM; MAGNETIC-FIELD; DIURNAL ANISOTROPY; GAMMA-RAYS; MODULATION; ASYMMETRY; HELIOSPHERE; MATSUSHIRO; REVERSALS</t>
  </si>
  <si>
    <t>We have analyzed the yearly averaged sidereal daily variations in the count rates of 46 underground muon telescopes by fitting Gaussian functions to the data. These functions represent the loss cone and tail-in anisotropies of the sidereal anisotropies model proposed by Nagashima et nl. [1995a, b]. The underground muon telescopes cover the median rigidity range 143-1400 GV and the viewing latitude range 73 degrees N-76 degrees S. From the Gaussian amplitudes and positions we have confirmed that the tail-in anisotropy is more prominent in the southern hemisphere with its reference axis located at declination (delta) similar to 14 degrees S and right ascension (alpha) similar to 4.7 sidereal hours. The tail-in anisotropy is asymmetric about its reference axis, and the observed time of maximum intensity depends on the viewing latitude of the underground muon telescopes. We also find that the declination of the reference axis may be related to the rigidity of the cosmic rays. We show that the loss cone anisotropy is symmetric and has a reference axis located on the celestial equator (delta similar to 0 degrees) and alpha similar to 13 sidereal hours. We have used the parameters of the Gaussian fits to devise an empirical model of the sidereal anisotropies, The model implies that the above characteristics of the anisotropies can explain the observed north-south asymmetry in the amplitude of the sidereal diurnal variation. Furthermore, we find that the anisotropies should cause the phase of the sidereal semidiurnal variation of cosmic rays to be observed at later times from the northern hemisphere compared to observations from the southern hemisphere. We present these results and discuss them in relation to current models of the heliosphere.</t>
  </si>
  <si>
    <t>Shinshu Univ, Fac Sci, Dept Phys, Matsumoto, Nagano 390, Japan; Nagoya Univ, Solar Terr Environm Lab, Nagoya, Aichi 464, Japan; Univ Tasmania, Sch Math &amp; Phys, Hobart, Tas 7001, Australia; Australian Antarctic Div, Kingston, Tas, Australia</t>
  </si>
  <si>
    <t>Shinshu University; Nagoya University; University of Tasmania; Australian Antarctic Division</t>
  </si>
  <si>
    <t>Shinshu Univ, Fac Sci, Dept Phys, Matsumoto, Nagano 390, Japan.</t>
  </si>
  <si>
    <t>Duldig, Marcus/0000-0001-7463-8267; Humble, John/0000-0002-4698-1671</t>
  </si>
  <si>
    <t>A4</t>
  </si>
  <si>
    <t>10.1029/1998JA900107</t>
  </si>
  <si>
    <t>182CU</t>
  </si>
  <si>
    <t>WOS:000079481600006</t>
  </si>
  <si>
    <t>McLachlan, JL; Curtis, JM; Boutilier, K; Keusgen, M; Seguel, MR</t>
  </si>
  <si>
    <t>Tetreutreptia pomquetensis (Euglenophyta), a psychrophilic species:: Growth and fatty acid composition</t>
  </si>
  <si>
    <t>euglenoid; fatty acids; growth; psychrophiles; sulfolipids; temperature; Tetreutreptia pomquetensis</t>
  </si>
  <si>
    <t>ANTARCTIC SEA-ICE; LOW-TEMPERATURE; MICROALGAE; DIATOM; BALANCE</t>
  </si>
  <si>
    <t>Tetreutreptia pomquetensis McLachlan, Fritz et Seguel, a quadriflagellated euglenoid isolated from a shallow-water embayment of the southeastern Gulf of St. Lawrence, is a common winter species where habitats are ice covered for 4 to 5 months. Growth in culture, which was similar to that of many euryhaline species, was limited at normal seawater salinities to temperatures between similar to 0 degrees and 7 degrees C, and the alga could not be maintained at 10 degrees C; thus, it is a strict psychrophile. The maximum growth rate (mu congruent to 0.35.days(-1)) was around 5 degrees C and, given its size (similar to 100 mu m length), high productivities are indicated. The major fatty acids (FAs) identified were 18:4 omega 3, 16:4 omega 3, 20:5 omega 3, and 16:0, The overall FA spectrum does not align closely to other euglenoids but may reflect more the low growth temperature, The presence of 18:5 omega 3 is unusual, as this FA had been known previously only from dinoflagellates and haptophytes, The two most abundant sulfoquinovosyl diacylglycerols (SQDGs) had pairings of [18:4/16:0] and [18:4/18:4] and together constituted 80% of the total SQDGs, The latter pairing is unique, not having been previously recognized. The FA data support the hypothesis that the degree of unsaturation is indicative of low temperatures and membrane integrity.</t>
  </si>
  <si>
    <t>Natl Res Council Canada, Halifax, NS B3H 3Z1, Canada; Dalhousie Univ, Dept Biol, Halifax, NS B3H 4J1, Canada; Univ Bonn, Inst Pharmazeut Biol, D-53115 Bonn, Germany; Acadia Univ, Dept Biol, Wolfville, NS B0P 1X0, Canada</t>
  </si>
  <si>
    <t>International Business Machines (IBM); National Research Council Canada; Dalhousie University; University of Bonn; Acadia University</t>
  </si>
  <si>
    <t>Curtis, JM (corresponding author), Natl Res Council Canada, 1411 Oxford St, Halifax, NS B3H 3Z1, Canada.</t>
  </si>
  <si>
    <t>Jonathan.Curtis@nrc.ca</t>
  </si>
  <si>
    <t>10.1046/j.1529-8817.1999.3520280.x</t>
  </si>
  <si>
    <t>194YT</t>
  </si>
  <si>
    <t>WOS:000080222900009</t>
  </si>
  <si>
    <t>Isakson, MJ; Sitz, GO</t>
  </si>
  <si>
    <t>Adsorption and desorption of HCl on ice</t>
  </si>
  <si>
    <t>POLAR STRATOSPHERIC CLOUDS; HYDROCHLORIC-ACID; HYDROGEN-CHLORIDE; ANTARCTIC OZONE; WATER-ICE; SURFACE; KINETICS; IONIZATION; DIFFUSION; DEPLETION</t>
  </si>
  <si>
    <t>Pulsed molecular beam and mass spectrometric techniques are used to study the adsorption of hydrogen chloride on thin ice films at temperatures from 100 to 170 K. The adsorption and desorption of HCl from an ice surface is relevant to the polar stratosphere where it is thought that chlorine atoms are liberated from reservoir species such as HCl by heterogeneous reactions occurring on the surface of polar stratospheric clouds. We have measured the sticking coefficient for HCl at an incident translational energy of 0.09 eV on thin film ice surfaces using a modified version of the reflectivity technique of King and Wells. By modeling the HCl partial pressure versus time waveforms for surface temperatures of 100 - 125 K, we obtain a sticking coefficient of 0.91 +/- 0.06. The model incorporates first-order HCl desorption and a loss term also first order in HCl. Fitted kinetic parameters are E-des = 28 kJ/mol, nu(des) = 2 x 10(14) s(-1) for desorption and E-loss = 21 kJ/mol, nu(loss) = 4 x 10(11) s(-1) for the loss. The loss may be associated with the onset of water diffusion on the ice surface and subsequent ionization or hydration of the HCl. The measured waveforms are inconsistent with diffusion of HCl into the bulk. The apparent reflectivity decreases substantially in the temperature range of 126 to 140 K. This decrease cannot be attributed to an increase in sticking coefficient,a phase change in the ice, or the formation of the hexahydrate state of HCl.</t>
  </si>
  <si>
    <t>Univ Texas, Dept Phys, Austin, TX 78712 USA</t>
  </si>
  <si>
    <t>University of Texas System; University of Texas Austin</t>
  </si>
  <si>
    <t>Sitz, GO (corresponding author), Univ Texas, Dept Phys, Austin, TX 78712 USA.</t>
  </si>
  <si>
    <t>gositz@physics.utexas.edu</t>
  </si>
  <si>
    <t>10.1021/jp984106g</t>
  </si>
  <si>
    <t>184KQ</t>
  </si>
  <si>
    <t>WOS:000079611700016</t>
  </si>
  <si>
    <t>Xu, SC; Zhao, XS</t>
  </si>
  <si>
    <t>Theoretical investigation of the reaction of ClONO2 with H2O on water clusters</t>
  </si>
  <si>
    <t>NITRIC-ACID TRIHYDRATE; STRATOSPHERIC OZONE DEPLETION; CHLORINE NITRATE; HETEROGENEOUS REACTIONS; HYDROGEN-CHLORIDE; AB-INITIO; ANTARCTIC STRATOSPHERE; ICE SURFACE; GAS-PHASE; HCL</t>
  </si>
  <si>
    <t>The reaction of ClONO2 with H2O on various water clusters has been investigated via an ab initio calculation at the MP2//HF/6-31G(d) level. The calculations have shown that as more water molecules are involved in the reaction, the barrier height: drops dramatically. The barrier energies of the reaction on the water clusters vary with the extent of hydration. A value as low as 3.2 kcal/mol was observed in the calculation. It is suggested that the ice surface shows catalytic character for the heterogeneous reaction through structure catalysis and hydration. It is shown that our mechanism of ClONO2 hydrolysis on ice surfaces is in a broad sense compatible with the ion-catalyzed mechanism.</t>
  </si>
  <si>
    <t>Peking Univ, Dept Chem, Beijing 100871, Peoples R China.</t>
  </si>
  <si>
    <t>Zhao, Xiu Song/F-9264-2011</t>
  </si>
  <si>
    <t>Zhao, Xiu Song/0000-0002-1276-5858</t>
  </si>
  <si>
    <t>1520-5215</t>
  </si>
  <si>
    <t>10.1021/jp9814045</t>
  </si>
  <si>
    <t>WOS:000079611700023</t>
  </si>
  <si>
    <t>Bye, JAT; Wolff, JO</t>
  </si>
  <si>
    <t>Atmosphere-ocean momentum exchange in general circulation models</t>
  </si>
  <si>
    <t>QUASI-GEOSTROPHIC MODEL; AIR-FLOW; WIND; WAVES; CURRENTS; FLUXES; GYRES</t>
  </si>
  <si>
    <t>A series of two-layer quasigeostrophic solutions for the ocean circulation driven by a steady wind in a channel with topography and in a flat bottom rectangular basin are presented in which the atmosphere and ocean are inertially coupled through the surface stress relation. The only other frictional processes are biharmonic lateral friction (under free-slip boundary conditions) and topographic form stress; there is no bottom friction involved. The results indicate that realistic momentum balances can be obtained on this physical basis. Two types of solutions are obtained, which are called (i) the I series in which the inertial coupling relation is applied directly in the earth reference frame with no current averaging and almost steady stream fields occur and (ii) the S series in which the inertial coupling relation is applied for long current averaging periods, of the order 100 days, rather than instantaneously. The solutions for the longer current averaging periods produce vigorous eddy fields, but their time-mean is very similar to the corresponding solution with no current averaging. Surface Stokes drift streamfields are also generated by the inertial coupling mechanism. Some implications of the results for general circulation modeling are discussed.</t>
  </si>
  <si>
    <t>Flinders Univ S Australia, Sch Earth Sci, Adelaide, SA 5001, Australia; Antarctic CRC, Hobart, Tas, Australia</t>
  </si>
  <si>
    <t>Flinders University South Australia</t>
  </si>
  <si>
    <t>Flinders Univ S Australia, Sch Earth Sci, GPO Box 2100, Adelaide, SA 5001, Australia.</t>
  </si>
  <si>
    <t>john.bye@flinders.edu.au</t>
  </si>
  <si>
    <t>Wolff, Joerg-Olaf/F-8248-2010</t>
  </si>
  <si>
    <t>Wolff, Joerg-Olaf/0000-0001-7037-7688</t>
  </si>
  <si>
    <t>10.1175/1520-0485(1999)029&lt;0671:AOMEIG&gt;2.0.CO;2</t>
  </si>
  <si>
    <t>187VZ</t>
  </si>
  <si>
    <t>WOS:000079809900008</t>
  </si>
  <si>
    <t>Falugi, C; Baccetti, B; Renieri, T; Moretti, E; Angelini, C; Campanella, C; Pisano, E; Piomboni, P</t>
  </si>
  <si>
    <t>Ultrastructural analysis of the spermatozoa of three Antarctic fish species</t>
  </si>
  <si>
    <t>JOURNAL OF SUBMICROSCOPIC CYTOLOGY AND PATHOLOGY</t>
  </si>
  <si>
    <t>sperm; Antarctic; ultrastructure</t>
  </si>
  <si>
    <t>REPRODUCTION</t>
  </si>
  <si>
    <t>Male gametes of two icefishes, Chionodraco hamatus and Champsocephalus gunnari, family Channichthyidae were studied (with transmission and scanning electron microscopy), and a preliminary study was undertaken with scanning electron microscopy on Notothenia coriiceps, family Nototheniidae. Both families belong to the suborder Notorthenioidei, the perciform fish group endemic to Antarctic waters. At scanning electron microscopy level, all the three species show a rather similar morphology, common to most perciform species. At transmission electron microscopy, C. hamatus shows some differences: two nuclear fossae, and abundant membranous ornamentations of the head. While most Perciformes show anacrosomal spermatozoa, the portions of membrane of C. hamatus spermatozoa resemble acrosomoid vesicles, indicating a possible role in fertilization. In both C. gunnari and C. hamatus, the head membranes are bound, with different distribution, by PSA (Pisum sativum agglutinin), that generally presents affinity sites in acrosome membranes of mammalian spermatozoa.</t>
  </si>
  <si>
    <t>Univ Genoa, DIBISSA, Dept Expt Environm &amp; Appl Biol, I-16132 Genoa, Italy; CNR, Inst Gen Biol, Siena, Italy; CNR, Ctr Study Germinal Cells, Siena, Italy; Natl Inst Canc Res, IST, Genoa, Italy; Univ Naples, Dept Evolut &amp; Compared Biol, Naples, Italy</t>
  </si>
  <si>
    <t>University of Genoa; Consiglio Nazionale delle Ricerche (CNR); Consiglio Nazionale delle Ricerche (CNR); University of Genoa; IRCCS AOU San Martino IST; University of Naples Federico II</t>
  </si>
  <si>
    <t>Falugi, C (corresponding author), Univ Genoa, DIBISSA, Dept Expt Environm &amp; Appl Biol, Viale Benedetto XV 5, I-16132 Genoa, Italy.</t>
  </si>
  <si>
    <t>Falugi, Carla/I-3064-2019; piomboni, paola/AAB-9868-2019; Angelini, Corrado I/J-3655-2019</t>
  </si>
  <si>
    <t>Angelini, Corrado I/0000-0002-9554-8794; Falugi, Carla/0000-0002-2647-1498; Moretti, Elena/0000-0002-9467-0501</t>
  </si>
  <si>
    <t>1122-9497</t>
  </si>
  <si>
    <t>J SUBMICR CYTOL PATH</t>
  </si>
  <si>
    <t>J. Submicrosc. Cytol. Pathol.</t>
  </si>
  <si>
    <t>Pathology</t>
  </si>
  <si>
    <t>245QG</t>
  </si>
  <si>
    <t>WOS:000083119200004</t>
  </si>
  <si>
    <t>Demer, DA; Soule, MA; Hewitt, RP</t>
  </si>
  <si>
    <t>A multiple-frequency method for potentially improving the accuracy and precision of in situ target strength measurements</t>
  </si>
  <si>
    <t>JOURNAL OF THE ACOUSTICAL SOCIETY OF AMERICA</t>
  </si>
  <si>
    <t>BEAM ECHO-SOUNDER; SPECIES IDENTIFICATION; ZOOPLANKTON; BACKSCATTERING; DEPENDENCE; ABUNDANCE; SPHERES; SINGLE; KRILL</t>
  </si>
  <si>
    <t>The effectiveness of a split-beam echosounder system to reject echoes from unresolvable scatterers, thereby improving the measurements of in situ target strengths (TS) of individuals, is dramatically enhanced by combining synchronized signals from two or more adjacent split-beam transducers of different frequencies. The accuracy and precision of the method was determined through simulations and controlled test tank experiments using multiple standard spheres and 38- and 120-kHz split-beam echosounders. By utilizing the angular positional information from one of the split-beam transducers, additional corresponding TS measurements were shown to be obtainable from a juxtaposed single-beam transducer. Both methods were utilized to extract in situ TS measurements of Antarctic scatterers simultaneously at 38, 120, and 200 kHz. The ultimate efficiency of the multiple-frequency method is shown to be limited by phase measurement precision, which in turn is limited by the scattering complexity of targets, the signal-to-noise ratio, and the receiver bandwidth. Imprecise phase measurements also result in significant beam-compensation uncertainty in split-beam measurements. Differences in multi-frequency TS measurements provided information about the identity of constituents in a mixed species assemblage. The taxa delineation method has potential, but is limited by compounding measurement uncertainties at the individual frequencies and sparse spectral sampling. (C) 1999 Acoustical Society of America. [S0001-4966(99)01204-7].</t>
  </si>
  <si>
    <t>SW Fisheries Sci Ctr, La Jolla, CA 92038 USA; Sea Fisheries Res Inst, Cape Town, South Africa</t>
  </si>
  <si>
    <t>Demer, DA (corresponding author), SW Fisheries Sci Ctr, POB 271, La Jolla, CA 92038 USA.</t>
  </si>
  <si>
    <t>, David/ABC-8990-2022</t>
  </si>
  <si>
    <t>, David/0000-0001-5083-8854</t>
  </si>
  <si>
    <t>AMER INST PHYSICS</t>
  </si>
  <si>
    <t>WOODBURY</t>
  </si>
  <si>
    <t>CIRCULATION FULFILLMENT DIV, 500 SUNNYSIDE BLVD, WOODBURY, NY 11797-2999 USA</t>
  </si>
  <si>
    <t>0001-4966</t>
  </si>
  <si>
    <t>J ACOUST SOC AM</t>
  </si>
  <si>
    <t>J. Acoust. Soc. Am.</t>
  </si>
  <si>
    <t>10.1121/1.426841</t>
  </si>
  <si>
    <t>Acoustics; Audiology &amp; Speech-Language Pathology</t>
  </si>
  <si>
    <t>188FW</t>
  </si>
  <si>
    <t>WOS:000079837000031</t>
  </si>
  <si>
    <t>Smith, LRI</t>
  </si>
  <si>
    <t>Biological and environmental characteristics of three cosmopolitan mosses dominant in continental Antarctica</t>
  </si>
  <si>
    <t>JOURNAL OF VEGETATION SCIENCE</t>
  </si>
  <si>
    <t>40th International-Association-for-Vegetation-Science Symposium</t>
  </si>
  <si>
    <t>AUG 18-SEP 23, 1997</t>
  </si>
  <si>
    <t>CESKE BUDEJOVICE, CZECH REPUBLIC</t>
  </si>
  <si>
    <t>Bryum argenteum; Bryum pseudotriquetrum; Ceratodon purpureus; colonization; dispersal; establishment; hydrological gradient; microclimate; photosynthesis</t>
  </si>
  <si>
    <t>VICTORIA-LAND; PIGMENT; LICHENS</t>
  </si>
  <si>
    <t>Bryum argenteum, B. pseudotriquetrum and Ceratodon purpureus are the predominant mosses in Victoria Land, continental Antarctica. All have cosmopolitan distributions and are widespread throughout Antarctica with wide ecological amplitudes resulting in considerable morphological variation. They are well adapted to tolerate the physiological stresses imposed by the severe environment. This study investigates aspects of their growth, physiology and survival in response to habitat constraints, especially hydrology. Their distribution is controlled almost exclusively by moisture availability. Each species tends to predominate in a specific zone along hydrological gradients, with B. pseudotriquetrum on moist soil, C. purpureus on drier soil, and B. argenteum on unstable stream margins, fluvial deposits and the marginal capillary zone. Where conditions are optimal, each species can form a turf 6-10 cm thick. Nutrient status of the soil does not appear to be an important determinant in the distribution pattern within communities. The thermal regime of the moss turf varies according to its moisture content; for a period of ca. six weeks during the summer, with the frequent long spells of 24-h sunshine, temperatures remain above 0 degrees C for much of the time even though air temperatures are frequently below the freezing point. This allows growth and metabolic activity to proceed continuously at a relatively rapid rate for quite long periods. Annual shoot incremental growth can exceed 3.5 mm in each species. Growth of B. argenteum may be inhibited by UV-B radiation. The optimal temperature for photosynthesis in each species is around 15 degrees C, but significant carbon fixation occurs at 5 degrees C. Photosynthetic rates at 5, 10 and 20 degrees C were B. argenteum &gt; B. pseudotriquetrum &gt; C. purpureus.</t>
  </si>
  <si>
    <t>Smith, LRI (corresponding author), British Antarctic Survey, NERC, Madingley Rd, Cambridge CB3 0ET, England.</t>
  </si>
  <si>
    <t>OPULUS PRESS UPPSALA AB</t>
  </si>
  <si>
    <t>UPPSALA</t>
  </si>
  <si>
    <t>BOX 25137, S 752 25 UPPSALA, SWEDEN</t>
  </si>
  <si>
    <t>1100-9233</t>
  </si>
  <si>
    <t>J VEG SCI</t>
  </si>
  <si>
    <t>J. Veg. Sci.</t>
  </si>
  <si>
    <t>Plant Sciences; Ecology; Forestry</t>
  </si>
  <si>
    <t>Plant Sciences; Environmental Sciences &amp; Ecology; Forestry</t>
  </si>
  <si>
    <t>198AH</t>
  </si>
  <si>
    <t>WOS:000080399200009</t>
  </si>
  <si>
    <t>Pye, T; Swain, R; Seppelt, RD</t>
  </si>
  <si>
    <t>Distribution and habitat use of the feral black rat (Rattus rattus) on subantarctic Macquarie Island</t>
  </si>
  <si>
    <t>distribution; habitat; introduced species; rats; Rattus rattus; subantarctic</t>
  </si>
  <si>
    <t>SOUTH GEORGIA</t>
  </si>
  <si>
    <t>Macquarie Island is the southernmost limit to the distribution of the black rat Rattus rattus. The species was introduced to this subantarctic island by sealers during the 19th century. The rats are now widespread and abundant in coastal areas all around the island. The distribution of rat populations is divided into discrete units by the availability of suitable habitat which, in turn, is a consequence of the rugged topography, particularly on the west coast. Rats are found from almost sea level to 200-250 m a.s.l. and up to 1 km inland. They have adapted successfully to the rigorous climate and firmly occupy a habitat niche in an environment where food is plentiful, predators are few and interspecific competition minimal. The principal habitat, tall Poa foliosa tussock grassland, provides year-round shelter and food. Rats dig burrows in the peaty stools of the tussock plants and construct nesting chambers at the base of the dense leaf canopy. Predictably, this provides a warmer and more stable thermal environment than that experienced outside under the tussock canopy where the runs are located. Tussock grasslands are spreading under the influence of management control measures directed at the introduced European rabbit and possibly global warming. Management programmes are also directed towards the eradication of feral cats. In response, rat populations may be expected to expand in numbers and to occupy new territories. Without control this may, in the long term, have serious consequences for the island's avifauna, particularly the smaller, burrow-nesting species.</t>
  </si>
  <si>
    <t>Univ Tasmania, Dept Zool, Hobart, Tas 7001, Australia; Antarctic Div, Kingston, Tas 7050, Australia</t>
  </si>
  <si>
    <t>Pye, T (corresponding author), Univ Tasmania, Dept Zool, Box 252C-05,GPO Hobart, Hobart, Tas 7001, Australia.</t>
  </si>
  <si>
    <t>10.1111/j.1469-7998.1999.tb01006.x</t>
  </si>
  <si>
    <t>195TV</t>
  </si>
  <si>
    <t>WOS:000080269000002</t>
  </si>
  <si>
    <t>Nelson, MM; Nichols, PD; Leighton, DL</t>
  </si>
  <si>
    <t>The occurrence and possible significance of diacylglyceryl ether lipids in abalone</t>
  </si>
  <si>
    <t>LIPIDS</t>
  </si>
  <si>
    <t>HALIOTIS-DISCUS-HANNAI; DIACYL GLYCERYL ETHERS; FATTY-ACIDS; NUTRITIONAL-REQUIREMENTS; GASTROPODA; BUOYANCY; DIETS</t>
  </si>
  <si>
    <t>Gonadal and root tissues of the green abalone, Haliotis fulgens, raised on artificial diets, were analyzed for lipids using thin-layer chromatography/flame-ionization detection and gas chromatography-mass spectrometry (CC-MS). Diacylglyceryl ether (DACE) was 0.7% of total lipids in the gonad. The major alkyl constituents of the glyceryl ether diols in the gonad (as % of total diols) were 16:0 (38%) and 18:1 (36%). While levels of DAGE in the abalone foot were below flame-ionization detection limits, glyceryl ether diols from them were detected using the more sensitive GC-MS procedure. The major diol components in the foot were 18:0 (39%) and 18:1 (32%). To our knowledge, this is the first report of DAGE in abalone tissues. Although the precise role of DAGE in abalone remains to be determined, a possible structural role may exist.</t>
  </si>
  <si>
    <t>San Diego State Univ, Coll Sci, Dept Biol, San Diego, CA 92182 USA; CSIRO, Marine Res &amp; Antarctic Cooperat Res Ctr, Hobart, Tas 7001, Australia; Marine Bioculture, Leucadia, CA 92024 USA</t>
  </si>
  <si>
    <t>Nelson, MM (corresponding author), San Diego State Univ, Coll Sci, Dept Biol, 5500 Campanile Dr, San Diego, CA 92182 USA.</t>
  </si>
  <si>
    <t>Nelson, Matthew M/A-6811-2016; Nichols, Peter D/C-5128-2011</t>
  </si>
  <si>
    <t>AMER OIL CHEMISTS SOC A O C S PRESS</t>
  </si>
  <si>
    <t>CHAMPAIGN</t>
  </si>
  <si>
    <t>1608 BROADMOOR DRIVE, CHAMPAIGN, IL 61821-0489 USA</t>
  </si>
  <si>
    <t>0024-4201</t>
  </si>
  <si>
    <t>Lipids</t>
  </si>
  <si>
    <t>10.1007/s11745-999-0381-9</t>
  </si>
  <si>
    <t>Biochemistry &amp; Molecular Biology; Nutrition &amp; Dietetics</t>
  </si>
  <si>
    <t>194ZU</t>
  </si>
  <si>
    <t>WOS:000080225300013</t>
  </si>
  <si>
    <t>Ledes, AE</t>
  </si>
  <si>
    <t>The Endurance:: Shackleton's legendary Antarctic expedition</t>
  </si>
  <si>
    <t>MAGAZINE ANTIQUES</t>
  </si>
  <si>
    <t>Art Exhibit Review</t>
  </si>
  <si>
    <t>BRANT PUBL, INC</t>
  </si>
  <si>
    <t>575 BROADWAY, NEW YORK, NY 10012 USA</t>
  </si>
  <si>
    <t>0161-9284</t>
  </si>
  <si>
    <t>MAG ANTIQUES</t>
  </si>
  <si>
    <t>Mag. Antiq.</t>
  </si>
  <si>
    <t>Art</t>
  </si>
  <si>
    <t>179GG</t>
  </si>
  <si>
    <t>WOS:000079317600001</t>
  </si>
  <si>
    <t>Herut, B; Zohary, T; Robarts, RD; Kress, N</t>
  </si>
  <si>
    <t>Adsorption of dissolved phosphate onto loess particles in surface and deep Eastern Mediterranean water</t>
  </si>
  <si>
    <t>loess; DIN; DIP</t>
  </si>
  <si>
    <t>EQUATORIAL PACIFIC-OCEAN; ANTARCTIC ICE CORE; SEA; PHOSPHORUS; IRON; SEDIMENTS; CYCLE; DISTRIBUTIONS; PRODUCTIVITY; LIMITATION</t>
  </si>
  <si>
    <t>The objective of this study was to examine whether dissolved inorganic phosphate (DIP) is removed from the Eastern Mediterranean Sea by adhering to atmospherically deposited loess particles sinking through the water column. In a series of radiolable experiments, loess from the Negev Desert, treated in various ways, was added to surface (SSW) and deep (DSW) seawater spiked with (PO4-3)-P-32. It was shown that when fresh loess reaches the Mediterranean SSW approximately 1.3 mu mol P/g are released (similar to 11% of the total P concentration). Biological activity and inorganic particles removed similar amounts of the tracer (30-40%) from SSW. It was estimated that about 0.2 mu mol P/g of 'aged loess' (proxy of particles sinking into DSW), were removed from poisoned SSW and DSW, while there was minor adsorption when either nothing or quartz powder was added. The adsorbed DIP accounts for approximately 15% of the released P and is equivalent to about 2% of the remaining P (11.17 mu mol P/g loess). Therefore, the process of DIP removal by atmospherically derived particles exists, but due to the higher release of P, the result is a net addition of dissolved atmospheric phosphorus in seawater. It is postulated that in actual SSW where dust concentrations are much lower, biological uptake out-competes inorganic adsorption, although it was demonstrated that the decrease in loess particle concentrations tends to increase their adsorption capacity. As the loess descends into the DSW it continues to remove DTP and thus transports phosphate from the water column to the sediments. A preliminary quantitative estimate suggests that the process of DIP removal by loess particles cannot explain the phosphate 'deficit' in the Eastern Mediterranean DSW characterized by unusually high DIN/DIP ratios (similar to 27) reported by others. (C) 1999 Elsevier Science B.V. All rights reserved.</t>
  </si>
  <si>
    <t>Natl Inst Oceanog, Israel Oceanog &amp; Limnol Res, IL-31080 Haifa, Israel; Yigal Allon Limnol Lab, Israel Oceanog &amp; Limnol Res, IL-14102 Tiberias, Israel; Environm Canada, Natl Hydrol Res Inst, Saskatoon, SK S7N 3H5, Canada</t>
  </si>
  <si>
    <t>Israel Oceanographic &amp; Limnological Research Institute; Israel Oceanographic &amp; Limnological Research Institute; Environment &amp; Climate Change Canada; National Hydrology Research Centre</t>
  </si>
  <si>
    <t>Herut, B (corresponding author), Natl Inst Oceanog, Israel Oceanog &amp; Limnol Res, POB 8030, IL-31080 Haifa, Israel.</t>
  </si>
  <si>
    <t>barak@ocean.org.il</t>
  </si>
  <si>
    <t>Herut, Barak/0000-0002-7093-8753</t>
  </si>
  <si>
    <t>10.1016/S0304-4203(98)00073-5</t>
  </si>
  <si>
    <t>214ZV</t>
  </si>
  <si>
    <t>WOS:000081358200001</t>
  </si>
  <si>
    <t>Prieto, MJ; Ercilla, G; Canals, M; de Batist, M</t>
  </si>
  <si>
    <t>Seismic stratigraphy of the Central Bransfield Basin (NW Antarctic Peninsula): interpretation of deposits and sedimentary processes in a glacio-marine environment</t>
  </si>
  <si>
    <t>glacio-marine sedimentation; seismic stratigraphy; Central Bransfield Basin; glaciated margins</t>
  </si>
  <si>
    <t>CONTINENTAL-MARGIN; PACIFIC MARGIN; WEST ANTARCTICA; EAST GREENLAND; WEDDELL SEA; BARENTS SEA; STRAIT; SEQUENCES; HISTORY; GRAVITY</t>
  </si>
  <si>
    <t>The Central Bransfield Basin is a deep narrow trough between the northern tip of the Antarctic Peninsula and the South Shetland Islands. Analyses of single-channel, high-resolution seismic reflection data are used to characterise the seismic stratigraphy of the Central Bransfield Basin. The tectonised acoustic basement is overlain by a 1-s-thick sedimentary cover composed of two main sedimentary sequences. The Lower Sequence, which shows synsedimentary deformation, has only been identified on the Antarctic Peninsula margin. The Upper Sequence is a complex sedimentary package composed of eight seismic units whose distribution, geometry and seismic facies allow two types of seismic units to be distinguished: slope and basinal units. The slope units, constituted by progradational stratified seismic facies, form a sedimentary wedge extending from the shelf edge. The basinal units fill the basin floor showing chaotic and undulated seismic facies that change basinward into stratified seismic facies. Both types of seismic units display an interfingering pattern at the base of the slope, suggesting an alternating shift of the sedimentary depocentre, from the slope to the basinfloor and vice verse. This alternate pattern indicates that the sedimentary processes responsible for the infilling of the Central Bransfield Basin followed a cyclic pattern, which has likely been associated with the advance and retreat of the ice sheets over the margins during glacial and interglacial episodes. During glacial periods, the ice sheets advanced, eroded the shallower sea floor areas and deposited diamicton and debris flow deposits along the moving grounding line, resulting in a progradational sedimentary wedge on the slope. At the end of glacial periods, coinciding with the retreat of the ice sheets, extensive sediment failures affected the continental margin. During interglacial periods the ice sheets remained restricted to coastal locations and glacial troughs, where processes of meltwater formation might have been significant. Sediment-laden underflows are generated within these troughs, from where they flow and spread over the shelf and down the slope to the basinfloor as sediment gravity flow deposits. The combined effect of these processes is a progradational build up of the shelf and an aggradational infilling of the basin floor, together with the development of the interfingering pattern at the base of the slope. (C) 1999 Elsevier Science B.V. All rights reserved.</t>
  </si>
  <si>
    <t>Univ Barcelona, Dept Geol Dinam Geofis &amp; Paleontol, GRC Geociencies Marines, E-08071 Barcelona, Spain; CSIC, Inst Ciencias Mar, Dept Geol Marina &amp; Oceanog, E-08039 Barcelona, Spain; Univ Ghent, Renard Ctr Marine Geol, B-9000 Ghent, Belgium</t>
  </si>
  <si>
    <t>University of Barcelona; Consejo Superior de Investigaciones Cientificas (CSIC); CSIC - Centro Mediterraneo de Investigaciones Marinas y Ambientales (CMIMA); CSIC - Instituto de Ciencias del Mar (ICM); Ghent University</t>
  </si>
  <si>
    <t>Univ Barcelona, Dept Geol Dinam Geofis &amp; Paleontol, GRC Geociencies Marines, Campus Pedralbes, E-08071 Barcelona, Spain.</t>
  </si>
  <si>
    <t>mjose@beagle.geo.ub.es</t>
  </si>
  <si>
    <t>Ercilla, Gemma/G-8180-2015; Prieto, Miguel J./L-7317-2014; De Batist, Marc/F-5722-2012; Canals, Miquel/F-4922-2013</t>
  </si>
  <si>
    <t>Prieto, Miguel J./0000-0001-9059-5519; De Batist, Marc/0000-0002-1625-2080; Canals, Miquel/0000-0001-5267-7601; Ercilla, Gemma/0000-0002-9709-2938</t>
  </si>
  <si>
    <t>10.1016/S0025-3227(98)00149-2</t>
  </si>
  <si>
    <t>180ML</t>
  </si>
  <si>
    <t>WOS:000079389700004</t>
  </si>
  <si>
    <t>Viseras, C; Maldonado, A</t>
  </si>
  <si>
    <t>Facies architecture, seismic stratigraphy and development of a high-latitude basin: the Powell Basin (Antarctica)</t>
  </si>
  <si>
    <t>seismic stratigraphy; seismic facies; growth patterns; continental margins; Powell Basin; Antarctic Peninsula</t>
  </si>
  <si>
    <t>TECTONIC EVOLUTION; SEQUENCES; PENINSULA; MARGIN; DEPOSITS</t>
  </si>
  <si>
    <t>Ten seismic facies assemblages organized into architectural elements have been identified on the basis of multichannel seismic profiles in the Powell Basin. These facies include: sheet drapes with parallel high-amplitude reflectors, sheet drapes with cyclic reflectors, sheet drapes with chaotic and moderate-amplitude reflectors, broad lenses with central channel, slope front fills with hummocky reflectors, sheet drapes with wavy reflectors, sigmoid wedges, irregular bodies with contorted reflectors, lenses with chaotic reflections and trough fills with divergent reflectors. The vertical and horizontal distribution of these architectural elements define the syn-rift, syn-drift and three post-drift sequences, whose boundaries are characterized by unconformities indicating significant changes in the factors controlling sedimentation on the margins and basin plain. The allogenic factors that appear to be more influential on the margin growth patterns are: the evolution of subsidence mechanisms, the tectonic regime on each of the margins, and the distribution of bottom currents related to the Weddell Sea Gyre. Subsidence controls the evolution of the accommodation space, thus causing a trend in the sequence external geometry from wedges during the syn-lift phase, to sigmoids during the drifting, followed by hat-downward convex lenses at the beginning of the post-drift phase and finally sheet-like geometries. Tectonics has a considerable influence on the extension of the source areas and margin geometry, and also modifies the depositional cycles associated to climatic changes, processes of ice sheet advance and retreat, sea-level fluctuations and isostatic adjustments. Bottom currents influence the distribution of depositional bodies, controlling the development of sediment drifts that constitute an important proportion of the sequences on the northern margin and in the basin plain. The evolution of the depositional sequences of the Powell Basin clearly depicts the influence of global processes linked to glacio-eustatic changes and the tectonics controlling the different phases in the development of a rifted basin. This high-latitude basin may be considered as a good example of a semi-isolated basin, which serves as a model for the stratigraphic reconstruction of margins and basins of high latitudes. (C) 1999 Elsevier Science B.V. All rights reserved.</t>
  </si>
  <si>
    <t>Univ Granada, Dept Stratig &amp; Palaeontol, E-18071 Granada, Spain; Univ Granada, CSIC, Andaluz Inst Geosci, E-18071 Granada, Spain</t>
  </si>
  <si>
    <t>University of Granada; Consejo Superior de Investigaciones Cientificas (CSIC); University of Granada</t>
  </si>
  <si>
    <t>Viseras, C (corresponding author), Univ Granada, Dept Stratig &amp; Palaeontol, E-18071 Granada, Spain.</t>
  </si>
  <si>
    <t>viseras@goliat.ugr.es</t>
  </si>
  <si>
    <t>Viseras, Cesar/AAV-2519-2021</t>
  </si>
  <si>
    <t>10.1016/S0025-3227(98)00136-4</t>
  </si>
  <si>
    <t>WOS:000079389700005</t>
  </si>
  <si>
    <t>Satellite to measure changes in the Antarctic ice sheets</t>
  </si>
  <si>
    <t>MARINE POLLUTION BULLETIN</t>
  </si>
  <si>
    <t>0025-326X</t>
  </si>
  <si>
    <t>1879-3363</t>
  </si>
  <si>
    <t>MAR POLLUT BULL</t>
  </si>
  <si>
    <t>Mar. Pollut. Bull.</t>
  </si>
  <si>
    <t>Environmental Sciences; Marine &amp; Freshwater Biology</t>
  </si>
  <si>
    <t>205XX</t>
  </si>
  <si>
    <t>WOS:000080847100003</t>
  </si>
  <si>
    <t>Russell, NJ; Nichols, DS</t>
  </si>
  <si>
    <t>Polyunsaturated fatty acids in marine bacteria - a dogma rewritten</t>
  </si>
  <si>
    <t>MICROBIOLOGY-UK</t>
  </si>
  <si>
    <t>marine bacteria; polyunsaturated fatty acids; Shewanella; chemotaxonomy; biotechnology</t>
  </si>
  <si>
    <t>ROTIFER BRACHIONUS-PLICATILIS; DEEP-SEA BACTERIUM; EICOSAPENTAENOIC ACID; DOCOSAHEXAENOIC ACID; ALTEROMONAS-PUTREFACIENS; SHEWANELLA-PUTREFACIENS; ANTARCTIC BACTERIUM; SP. NOV.; GEN-NOV; PSEUDOMONAS-PUTREFACIENS</t>
  </si>
  <si>
    <t>Univ London Wye Coll, Dept Sci Biol, Microbiol Labs, Ashford TN25 5AH, Kent, England; Univ Tasmania, Sch Agr Sci, Hobart, Tas 7001, Australia</t>
  </si>
  <si>
    <t>Imperial College London; University of Tasmania</t>
  </si>
  <si>
    <t>Russell, NJ (corresponding author), Univ London Wye Coll, Dept Sci Biol, Microbiol Labs, Ashford TN25 5AH, Kent, England.</t>
  </si>
  <si>
    <t>n.russell@wye.ac.uk</t>
  </si>
  <si>
    <t>Nichols, David/0000-0002-8066-3132</t>
  </si>
  <si>
    <t>SOC GENERAL MICROBIOLOGY</t>
  </si>
  <si>
    <t>MARLBOROUGH HOUSE, BASINGSTOKE RD, SPENCERS WOODS, READING, BERKS, ENGLAND RG7 1AE</t>
  </si>
  <si>
    <t>1350-0872</t>
  </si>
  <si>
    <t>MICROBIOL-UK</t>
  </si>
  <si>
    <t>Microbiology-(UK)</t>
  </si>
  <si>
    <t>10.1099/13500872-145-4-767</t>
  </si>
  <si>
    <t>184QP</t>
  </si>
  <si>
    <t>WOS:000079624700001</t>
  </si>
  <si>
    <t>Vimeux, F; Masson, V; Jouzel, J; Stievenard, M; Petit, JR</t>
  </si>
  <si>
    <t>Glacial-interglacial changes in ocean surface conditions in the southern hemisphere</t>
  </si>
  <si>
    <t>CLIMATIC INTERPRETATION; DEUTERIUM EXCESS; ICE CORE; CIRCULATION; SIMULATIONS; SNOW; DUST</t>
  </si>
  <si>
    <t>The stable-isotope signatures of oxygen and hydrogen in the water of preserved ice and snow are both widely used to infer local temperatures of past environments. A derived quantity based on these two signatures, the 'deuterium excess'(1), provides additional palaeoclimatic information(2-4), as this parameter depends on the meteorological and oceanic characteristics of the water's source-regions (in particular, their temperature(2,3) and relative humidity(4)). Published studies mainly focus on records from the past 40,000 years. Here we present a deuterium-excess history obtained from ice cores from Vostok, East Antarctica, spanning the full glacial-interglacial cycle of the past 150,000 years. The deuterium-excess record shows a strong anticorrelation with the Earth's orbital obliquity (similar to 41,000-year periodicity), and values are markedly higher during the cold stage 5d (following the last interglacial) than during the other cold stages. We interpret the relationship with obliquity as resulting from changes in the latitudinal insolation gradient affecting ocean surface conditions and, thus, the delivery of moisture to the polar region. We argue that the high 5d values, relative to other cold stages, are driven by relatively less moisture delivered from high latitudes, and more from low latitudes. The deuterium-excess in Antarctic precipitation thus provides long-term, spatially integrated information on ocean surface conditions and ocean/atmosphere circulations in the Southern Hemisphere.</t>
  </si>
  <si>
    <t>CEA, CNRS, UMR 1572, Lab Sci Climat &amp; Environm, F-91191 Gif Sur Yvette, France; Lab Glaciol &amp; Geophys Environm, CNRS, F-38402 St Martin Dheres, France</t>
  </si>
  <si>
    <t>CEA; Centre National de la Recherche Scientifique (CNRS); Universite Paris Saclay; Centre National de la Recherche Scientifique (CNRS)</t>
  </si>
  <si>
    <t>Vimeux, F (corresponding author), CEA, CNRS, UMR 1572, Lab Sci Climat &amp; Environm, Batiment 709, F-91191 Gif Sur Yvette, France.</t>
  </si>
  <si>
    <t>vimeux@lsce.saclay.cea.fr</t>
  </si>
  <si>
    <t>Masson-Delmotte, Valerie L/G-1995-2011</t>
  </si>
  <si>
    <t>Masson-Delmotte, Valerie L/0000-0001-8296-381X</t>
  </si>
  <si>
    <t>10.1038/18860</t>
  </si>
  <si>
    <t>182PW</t>
  </si>
  <si>
    <t>WOS:000079508200048</t>
  </si>
  <si>
    <t>Ghermandi, G; Laj, P; Capotosto, M; Cecchi, R; Riontino, C</t>
  </si>
  <si>
    <t>Elemental and mineral characterisation of coastal Antarctic aerosols in snow using PIXE and SEM-EDAX</t>
  </si>
  <si>
    <t>NUCLEAR INSTRUMENTS &amp; METHODS IN PHYSICS RESEARCH SECTION B-BEAM INTERACTIONS WITH MATERIALS AND ATOMS</t>
  </si>
  <si>
    <t>8th International Conference on PIXE and its Analytical Applications</t>
  </si>
  <si>
    <t>JUN 14-18, 1998</t>
  </si>
  <si>
    <t>LUND UNIV, LUND, SWEDEN</t>
  </si>
  <si>
    <t>LUND UNIV</t>
  </si>
  <si>
    <t>PIXE; SEM-EDAX; aerosol properties; aerosol mineralogy; Antarctic precipitation</t>
  </si>
  <si>
    <t>CLOUD ALBEDO</t>
  </si>
  <si>
    <t>The chemical constituents of snow from a 3 m pit sampled at a coastal Antarctic site were characterised by means of PIXE and SEM-EDAX. Oxygen isotope dating revealed that the pit spanned an 8-year period. from 1986 to 1994. Concentrations measured by PIXE ranged from less than 1 ng g(-1) of H2O for Cu, and Zn to several tens of ng g(-1) for Si, S and Cl. The major elements found were Si, S, Al, and Na, which contributed more than 75% of the element loading. Snow layers with elevated Cl concentration were regularly found along the pit. The mineralogy of the insoluble particles determined by SEM-EDAX analyses showed that quartz, plagioclase and clays were the prevalent minerals. The proportion of each element in the insoluble phase was comparable with that previously found in similar studies. (C) 1999 Elsevier Science B.V. All rights reserved.</t>
  </si>
  <si>
    <t>Univ Modena, Dipartimento Sci Ingn, I-41100 Modena, Italy; CNR, FISBAT, I-40129 Bologna, Italy</t>
  </si>
  <si>
    <t>Universita di Modena e Reggio Emilia; Consiglio Nazionale delle Ricerche (CNR)</t>
  </si>
  <si>
    <t>Ghermandi, G (corresponding author), Univ Modena, Dipartimento Sci Ingn, Via Campi 213-A, I-41100 Modena, Italy.</t>
  </si>
  <si>
    <t>; Ghermandi, Grazia/N-1775-2015</t>
  </si>
  <si>
    <t>Laj, Paolo/0000-0002-6586-0664; Ghermandi, Grazia/0000-0002-4597-8948</t>
  </si>
  <si>
    <t>0168-583X</t>
  </si>
  <si>
    <t>NUCL INSTRUM METH B</t>
  </si>
  <si>
    <t>Nucl. Instrum. Methods Phys. Res. Sect. B-Beam Interact. Mater. Atoms</t>
  </si>
  <si>
    <t>10.1016/S0168-583X(98)00901-X</t>
  </si>
  <si>
    <t>Instruments &amp; Instrumentation; Nuclear Science &amp; Technology; Physics, Atomic, Molecular &amp; Chemical; Physics, Nuclear</t>
  </si>
  <si>
    <t>Instruments &amp; Instrumentation; Nuclear Science &amp; Technology; Physics</t>
  </si>
  <si>
    <t>192AZ</t>
  </si>
  <si>
    <t>WOS:000080056500063</t>
  </si>
  <si>
    <t>Day, TA; Ruhland, CT; Grobe, CW; Xiong, F</t>
  </si>
  <si>
    <t>Growth and reproduction of Antarctic vascular plants in response to warming and UV radiation reductions in the field</t>
  </si>
  <si>
    <t>Antarctica; climate change; Colobanthus quitensis; Deschampsia antarctica; ozone depletion</t>
  </si>
  <si>
    <t>ULTRAVIOLET-B RADIATION; PIGMENT CONCENTRATIONS; TERRESTRIAL PLANTS; PHOTOSYNTHESIS; PENINSULA; TEMPERATURE; GREENHOUSE; ABSORPTION; POPULATION; SEEDLINGS</t>
  </si>
  <si>
    <t>Along the west coast of the Antarctic Peninsula springtime ozone depletion events can lead to a two-fold increase in biologically effective UV-B radiation (UV-B-BE) and summer air temperatures have risen approximate to 1.5 degrees C during the past 50 years. Wt manipulated levels of UV radiation and temperature around Colobanthus quitensis (a cushion-forming plant, Caryophyllaceae) and Deschampsia antarctica (a tussock grass) along the Peninsula near Palmer Station for two field seasons. Ambient levels of UV were manipulated by placing filters that either transmitted UV (filter control), absorbed UV-B (reducing diurnal levels of UV-BBE by about 82%). or absorbed both UV-B and UV-A (reducing UV-B-BE and UV-ABE by about 88 and 78%. respectively) on frames over naturally growing plants from November to March. Half the filters of each material completely surrounded the frames and raised diurnal and diel air temperatures around plants by an average of 2.3 degrees C and 1.3 degrees C, respectively. Reducing UV or warming had no effect on leaf concentrations of soluble UV-B absorbing compounds, UV-B absorbing surface waves or chlorophylls. Warming had few effects on growth of either species over the first season. However. over the second field season warming improved growth of C. quitensis. leading to a 50% increase in leaf production (P &lt; 0.10), a 26% increase in shoot production, and a 6% increase in foliar cover. In contrast, warming reduced growth of D, antarctica, leading to a 20% decline in leaf length, a 17% decline in leaf production (P &lt; 0.10), and a 5% decline in foliar cover. Warming improved sexual reproduction in both species, primarily through faster development of reproductive structures and greater production of heavier seeds. Over the second field season, the percentage of reproductive structures that had reached the most developed (seed) stage in C. quitensis and D, antarctica was 20% and 15% higher, respectively, under warming. Capsules of C. quitensis produced 45% more seeds under warming and these seeds were 11% heavier. Growth of D, antarctica was improved when UV was reduced and these effects appeared to be cumulative over field seasons. Over the second season. tillers produced 55% more leaves and these leaves were 32% longer when UV-B was reduced. Tillers produced 137% more leaves that were 67% longer when both UVB and UV-A were reduced. The effects of UV reduction were not as pronounced on C, quitensis, although over the second season cushions tended to be 17% larger and produce 21% more branches when UV-B was reduced, and tended to be 27% larger and produce 38% more branches when both UV-B and UV-A were reduced (P &lt; 0.10). Few interactions were found between UV reduction and warming, although in the absence of warming, reducing UV led to slower development of reproductive structures in both species. The effects of warming and UV reduction were species specific and were often cumulative over the two field seasons, emphasizing the importance of long-term field manipulations in predicting the impacts of climate change.</t>
  </si>
  <si>
    <t>Arizona State Univ, Dept Plant Biol, Tempe, AZ 85287 USA</t>
  </si>
  <si>
    <t>Day, TA (corresponding author), Arizona State Univ, Dept Plant Biol, POB 871601, Tempe, AZ 85287 USA.</t>
  </si>
  <si>
    <t>10.1007/s004420050757</t>
  </si>
  <si>
    <t>190AN</t>
  </si>
  <si>
    <t>WOS:000079939500004</t>
  </si>
  <si>
    <t>Sigman, DM; Altabet, MA; Francois, R; McCorkle, DC; Gaillard, JF</t>
  </si>
  <si>
    <t>The isotopic composition of diatom-bound nitrogen in Southern Ocean sediments</t>
  </si>
  <si>
    <t>GLACIAL-INTERGLACIAL CHANGES; WINTER MIXED LAYER; ATMOSPHERIC CO2; LATE QUATERNARY; NITRATE UTILIZATION; NORTH-ATLANTIC; ORGANIC-CARBON; INDIAN SECTOR; HIGH-LATITUDE; DEEP</t>
  </si>
  <si>
    <t>Treatment of diatom microfossils from Southern Ocean sediments with hot perchloric acid leaves a diatom-bound N fraction which is 0-4 parts per thousand lower in delta(15)N than the bulk sediment, typically 3 parts per thousand lower in recent Antarctic diatom ooze. Results from Southern Ocean surface sediments indicate that early diagenetic changes in bulk sediment N content and delta(15)N are not reflected in diatom-bound N, suggesting that diatom-bound N is physically protected from early diagenesis by the microfossil matrix. A meridional transect of multicores from the Indian sector of the Southern Ocean shows a northward increase in the delta(15)N Of diatom-bound N, suggesting that diatom-bound delta(15)N, like bulk sedimentary delta(15)N, varies with nitrate utilization in the overlying surface waters. The delta(15)N of diatom-bound N is 3-4 parts per thousand higher in glacial age Antarctic sediments than in Holocene sediments, supporting the hypothesis, previously based on bulk sediment delta(15)N, that nitrate utilization in the surface Antarctic was higher during the last ice age. While there are important uncertainties, the inferred range of utilization changes could potentially explain the entire similar to 80 ppm amplitude of observed glacial/interglacial variations in atmospheric CO2.</t>
  </si>
  <si>
    <t>Woods Hole Oceanog Inst, Dept Marine Chem &amp; Geochem, Woods Hole, MA 02543 USA; Univ Massachusetts, Ctr Marine Sci &amp; Technol, New Bedford, MA 02744 USA; Northwestern Univ, Dept Geol Sci, Evanston, IL 60208 USA</t>
  </si>
  <si>
    <t>Woods Hole Oceanographic Institution; University of Massachusetts System; Northwestern University</t>
  </si>
  <si>
    <t>Sigman, DM (corresponding author), Princeton Univ, Dept Geosci, Guyot Hall, Princeton, NJ 08544 USA.</t>
  </si>
  <si>
    <t>sigman@geo.princeton.edu</t>
  </si>
  <si>
    <t>Gaillard, Jean-François/E-9445-2013; Sigman, Daniel M./A-2649-2008; Sigman, Daniel M./IYJ-2613-2023; Gaillard, Jean-Francois/B-6981-2009</t>
  </si>
  <si>
    <t>Gaillard, Jean-François/0000-0002-8276-6418; Sigman, Daniel M./0000-0002-7923-1973;</t>
  </si>
  <si>
    <t>10.1029/1998PA900018</t>
  </si>
  <si>
    <t>179KD</t>
  </si>
  <si>
    <t>WOS:000079325100003</t>
  </si>
  <si>
    <t>Keigwin, LD; Boyle, EA</t>
  </si>
  <si>
    <t>Surface and deep ocean variability in the northern Sargasso Sea during marine isotope stage 3</t>
  </si>
  <si>
    <t>ATLANTIC THERMOHALINE CIRCULATION; WATER PRODUCTION; CLIMATE-CHANGE; GREENLAND ICE; SEDIMENT; RECORDS; CARBON; TEMPERATURES; EVENTS; INSTABILITY</t>
  </si>
  <si>
    <t>New geochemical proxy data from Bermuda Rise piston cores reveal ocean and climate conditions in the northern Sargasso Sea during marine isotope stage 3. Using delta(18)O on the planktonic foraminifer Globigerinoides ruber, we can correlate explicitly with every stadial/interstadial change in Greenland ice between similar to 32 and 58 ka. These data suggest repetitive changes of similar to 4 degrees C in the annual average sea surface temperature (SST), with maximum cooling comparable to or greater than SST during glacial maximum conditions. The extent of SST depression is about the same for typical stadial events and for Heinrich events a and 5 which wp have identified nn thp Bermuda Rise hv traces nf ice rafting Benthic foraminiferal delta(13)C decreases during every stadial event, consistent with reduced production of the deepest component of North Atlantic Deep Water and shoaling of its interface with Antarctic Bottom Water. This interpretation is supported by benthic Cd/Ca data from the climate cycle associated with interstadial 8.</t>
  </si>
  <si>
    <t>Woods Hole Oceanog Inst, McLean Lab, Woods Hole, MA 02543 USA; MIT, Dept Earth Atmospher &amp; Planetary Sci, Cambridge, MA 02139 USA</t>
  </si>
  <si>
    <t>Woods Hole Oceanographic Institution; Massachusetts Institute of Technology (MIT)</t>
  </si>
  <si>
    <t>Woods Hole Oceanog Inst, McLean Lab, M-S 8,360 Woods Hole Rd, Woods Hole, MA 02543 USA.</t>
  </si>
  <si>
    <t>eaboyle@mit.edu; Lkeigwin@whoi.edu</t>
  </si>
  <si>
    <t>1944-9186</t>
  </si>
  <si>
    <t>10.1029/1998PA900026</t>
  </si>
  <si>
    <t>WOS:000079325100006</t>
  </si>
  <si>
    <t>Rota, E; Carchini, G</t>
  </si>
  <si>
    <t>A new Polygordius (Annelida: Polychaeta) from terra Nova Bay, Ross Sea, Antarctica</t>
  </si>
  <si>
    <t>OLIGOCHAETA</t>
  </si>
  <si>
    <t>Polygordius antarcticus sp. nov. is described from benthic material collected at depths ranging between 31 and 61 m in Terra Nova Bay, Ross Sea, during the 1987-1988 and 1988-1989 expeditions of the Italian National Research Program in Antarctica. This is the first named species of the genus from Antarctic waters. Although no fully mature specimens were available, the new species appears unique in combining the following features: a regular pygidium, inflated and with a single ring of round adhesive pads, a conical prostomium with short antennae (only half as long as the prostomium) and shallow head fold, and a well-developed circulatory apparatus, with circumoesophageal commissures entering the prostomium and long intersegmental commissures insinuating into the ventrolateral compartments of the trunk. These and other significant features were investigated by light and scanning electron microscopy. In the construction of the head and the scheme of the blood system, the new species resembles Polygordius triestinus Woltereck, described by Hempelmann in 1906, an aberrant species inhabiting muddy, anoxic sediments in the Adriatic Sea, but it differs significantly from it in the shape of the mouth (in P. triestinus the upper lip is hypertrophied and strongly protruding) and the pygidium (in P. triestinus this region is stump-like and non-adhesive). The pygidium of P. antarcticus sp, nov. is encircled by 28-30 small adhesive pads, each with 15-20 glandular openings. Preterminal cirri are lacking, as are perianal appendages. The anus is surrounded by six to seven lobes of which the midventral is largest and longest. A world distribution map of the genus is provided.</t>
  </si>
  <si>
    <t>Univ Siena, Dipartimento Biol Evolut, I-53100 Siena, Italy; Univ Roma Tor Vergata, Dipartimento Biol, I-00133 Rome, Italy</t>
  </si>
  <si>
    <t>University of Siena; University of Rome Tor Vergata</t>
  </si>
  <si>
    <t>Rota, E (corresponding author), Univ Siena, Dipartimento Biol Evolut, Via Mattioli 4, I-53100 Siena, Italy.</t>
  </si>
  <si>
    <t>Rota, Emilia/0000-0002-8235-6419</t>
  </si>
  <si>
    <t>10.1007/s003000050354</t>
  </si>
  <si>
    <t>182VK</t>
  </si>
  <si>
    <t>WOS:000079518700001</t>
  </si>
  <si>
    <t>Hernandez-León, S; Torres, S; Gómez, M; Montero, I; Almeida, C</t>
  </si>
  <si>
    <t>Biomass and metabolism of zooplankton in the Bransfield Strait (Antarctic Peninsula) during austral spring</t>
  </si>
  <si>
    <t>KRILL EUPHAUSIA-SUPERBA; WEDDELL-SEA; ACOUSTIC OBSERVATIONS; CHEMICAL-COMPOSITION; DYNAMIC ACTION; EGG-PRODUCTION; SOUTH GEORGIA; ICE-EDGE; COPEPOD; GROWTH</t>
  </si>
  <si>
    <t>Zooplankton biomass (as dry weight), respiration and ammonia excretion were studied in three different size classes (200-500, 500 1000 and &gt; 1000 mu m) in the Bransfield Strait during December 1991. Average mesozooplankton biomass was 86.45 +/- 56.74 mg dry weight m(-2). which is in the lower range of the values cited in the literature for polar waters. Higher biomass was observed in the Weddell water. The small size fraction accounted for about 50% of total biomass while the largest one represented 35%. Rather high metabolic rates were found, irrespective of whether the organisms were incubated in the presence of food. No significant differences were observed in mass specific respiration and ammonia excretion rates between different temperatures of incubation (0.2-2.3 degrees C) and between the size classes studied. Because of the very low biomass values observed, the metabolic requirements of I nesozooplankton during December represented a small fraction of the primary production.</t>
  </si>
  <si>
    <t>Univ Las Palmas Gran Canaria, Fac Ciencias Mar, Las Palmas 35017, Canary Islands, Spain</t>
  </si>
  <si>
    <t>Universidad de Las Palmas de Gran Canaria</t>
  </si>
  <si>
    <t>Hernandez-León, S (corresponding author), Univ Las Palmas Gran Canaria, Fac Ciencias Mar, Campus Univ Tafira, Las Palmas 35017, Canary Islands, Spain.</t>
  </si>
  <si>
    <t>DE ALMEIDA, CARLOS CAETANO/K-4265-2016; Gómez, May/L-9561-2014; Almeida, Carlos/AAN-3854-2021; Hernández-León, Santiago/M-2563-2014</t>
  </si>
  <si>
    <t>Almeida, Carlos/0000-0001-9283-4851; Gomez, May/0000-0002-7396-6493; Hernandez-Leon, Santiago/0000-0002-3085-4969</t>
  </si>
  <si>
    <t>10.1007/s003000050355</t>
  </si>
  <si>
    <t>WOS:000079518700002</t>
  </si>
  <si>
    <t>McMinn, A; Skerratt, J; Trull, T; Ashworth, C; Lizotte, M</t>
  </si>
  <si>
    <t>Nutrient stress gradient in the bottom 5 cm of fast ice, McMurdo Sound, Antarctica</t>
  </si>
  <si>
    <t>SEA-ICE; SPRING BLOOM; INORGANIC NUTRIENTS; EASTERN ANTARCTICA; FATTY-ACID; ALGAE; MARINE; GROWTH; DIATOM; MICROALGAE</t>
  </si>
  <si>
    <t>One-centimeter-scale vertical sampling of fast ice from McMurdo Sound, Antarctica reveals evidence of progressive nutrient limitation with distance above the ice/water interface. Over the bottom 6 cm photo-synthetically active radiation increases by between 1.8 and 3 times, C:N increases from 6.8 to 19.8 and delta(13)C increases from -18 to -12. Fatty acid composition also changes with a consistent decline in polyunsaturated fatty acids and a rise in saturated fatty acids. These factors all suggest severe and progressive nutrient limitation with distance from the ice/water interface.</t>
  </si>
  <si>
    <t>Univ Tasmania, Inst Antarctic &amp; So Ocean Studies, Hobart, Tas 7001, Australia; Univ Tasmania, Antarctic CRC, Hobart, Tas 7001, Australia; Univ Tasmania, Dept Plant Sci, Hobart, Tas 7001, Australia; Univ Wisconsin, Dept Biol Sci, Oshkosh, WI 54901 USA</t>
  </si>
  <si>
    <t>University of Tasmania; University of Tasmania; University of Tasmania; University of Wisconsin System</t>
  </si>
  <si>
    <t>secretary@iasos.utas.edu.au</t>
  </si>
  <si>
    <t>Trull, Tom W/B-7028-2014; skerratt, jennifer/N-4313-2019; Skerratt, Jennifer/F-2010-2015; McMinn, Andrew/A-9910-2008</t>
  </si>
  <si>
    <t>skerratt, jennifer/0000-0001-9023-4692; Skerratt, Jennifer/0000-0001-9023-4692;</t>
  </si>
  <si>
    <t>10.1007/s003000050356</t>
  </si>
  <si>
    <t>WOS:000079518700003</t>
  </si>
  <si>
    <t>Davies, KF; Melbourne, BA</t>
  </si>
  <si>
    <t>Statistical models of invertebrate distribution on Macquarie Island: a tool to assess climate change and local human impacts</t>
  </si>
  <si>
    <t>SUB-ANTARCTIC ISLANDS; MONTANE ASH FORESTS; NEW-SOUTH-WALES; ARBOREAL MARSUPIALS; HABITAT REQUIREMENTS; SPATIAL-DISTRIBUTION; CENTRAL HIGHLANDS; NATURE RESERVES; CONSERVATION; AUSTRALIA</t>
  </si>
  <si>
    <t>Sub-Antarctic islands are good model systems in which to study the ecological effects of human impacts, particularly global climate change and alien species. Invertebrates form a central component of these ecosystems. We conducted a stratified survey of 69 sites on sub-Antarctic Macquarie Island and used logistic regression models to describe the distribution of 14 abundant invertebrate species. We also developed a statistical model of windspeed based on topography. The distributions of individual species were described by different combinations of aspect, altitude and vegetation type. Ordination of sites based on species composition showed strong effects of altitude and vegetation on invertebrate assemblages. The species distribution models provide a tool for detecting, monitoring and predicting effects of climate change and alien species on biota and ecosystem processes.</t>
  </si>
  <si>
    <t>CSIRO, Div Entomol, Canberra, ACT 2601, Australia</t>
  </si>
  <si>
    <t>Melbourne, BA (corresponding author), Australian Natl Univ, Div Biol &amp; Zool, Canberra, ACT 0200, Australia.</t>
  </si>
  <si>
    <t>Melbourne, Brett/KBQ-9784-2024</t>
  </si>
  <si>
    <t>Melbourne, Brett/0000-0002-8843-4131</t>
  </si>
  <si>
    <t>10.1007/s003000050359</t>
  </si>
  <si>
    <t>WOS:000079518700006</t>
  </si>
  <si>
    <t>Park, MG; Yang, SR; Kang, SH; Chung, KH; Shim, JH</t>
  </si>
  <si>
    <t>Phytoplankton biomass and primary production in the marginal ice zone of the northwestern Weddell Sea during austral summer</t>
  </si>
  <si>
    <t>ANTARCTIC PACK ICE; SCOTIA SEA; SOUTHERN-OCEAN; EDGE ZONE; ROSS SEA; STANDING CROP; DISTRIBUTIONS; AUTUMN; NUTRIENT; BACTERIOPLANKTON</t>
  </si>
  <si>
    <t>During the austral summer of 1995, distributions of phytoplankton biomass (as chlorophyll a), primary production, and nutrient concentrations along two north-south transects in the marginal ice zone of the northwestern Weddell Sea were examined as part of the 8th Korean Antarctic Research Program. An extensive phytoplankton bloom, ranging from 1.6 to 11.2 mg m(-3) in surface chlorophyll a concentration, was encountered along the eastern transect and extended ca. 180 km north of the ice edge. The spatial extent of the bloom was closely related to the density field induced by the input of meltwater from the retreating sea ice. However, the extent (ca. 200 km) of the phytoplankton bloom along the western transect exceeded the meltwater-influenced zone (ca. 18 km). The extensive bloom along the western transect was more closely related to local hydrography than to the proximity of the ice edge and the resulting meltwater-induced stability of the upper water column. In addition, the marginal ice zone on the western transect was characterized by a deep, high phytoplankton biomass (up to 8 mg Chl a m(-3)) extending to 100-m depth, and the decreased nutrient concentration, which was probably caused by passive sinking from the upper euphotic zone and in situ growth. Despite the low bloom intensity relative to the marginal ice zone in both of the transects, mean primary productivity (2.6 g C m(-2) day(-1)) in shelf waters corresponding to the northern side of the western transect was as high as in the marginal ice zone (2.1 g C m(-2) day(-1)), and was 4.8 times greater than that in open waters, suggesting that shelf waters are as highly productive as the marginal ice zone. A comparison between the historical productivity data and our data also shows that the most productive regions in the Southern Ocean are shelf waters and the marginal ice zone, with emerging evidence of frontal regions as another major productive site.</t>
  </si>
  <si>
    <t>Seoul Natl Univ, Dept Oceanog, Seoul 151742, South Korea; Seoul Natl Univ, Res Inst Oceanog, Seoul 151742, South Korea; Kwangju Univ, Dept Environm Engn, Kwangju 503703, South Korea; Korea Ocean Res &amp; Dev Inst, Polar Res Ctr, Seoul 425600, South Korea</t>
  </si>
  <si>
    <t>Seoul National University (SNU); Seoul National University (SNU); Korea Institute of Ocean Science &amp; Technology (KIOST)</t>
  </si>
  <si>
    <t>Park, MG (corresponding author), Seoul Natl Univ, Dept Oceanog, Seoul 151742, South Korea.</t>
  </si>
  <si>
    <t>10.1007/s003000050360</t>
  </si>
  <si>
    <t>WOS:000079518700007</t>
  </si>
  <si>
    <t>Peucat, JJ; Ménot, RP; Monnier, O; Fanning, CM</t>
  </si>
  <si>
    <t>The Terre Adelie basement in the East-Antarctica Shield:: geological and isotopic evidence for a major 1.7 Ga thermal event;: comparison with the Gawler Craton in South Australia</t>
  </si>
  <si>
    <t>PRECAMBRIAN RESEARCH</t>
  </si>
  <si>
    <t>Antarctica; Australia; monazite; paleoproterozoic; Terre Adelie; zircon</t>
  </si>
  <si>
    <t>SM-ND; RB-SR; EVOLUTION; TEMPERATURE; GNEISSES; MONAZITE; GRANITE; GARNETS; ZIRCON; HILLS</t>
  </si>
  <si>
    <t>The basement in the Pointe Geologie Archipelago, around the French Dumont D'Urville station in Terre Adelie, comprises a metapelitic migmatitic complex with a 1.7 Ga metamorphic evolution differing from that generally found in other areas of the East Antarctic Shield. In Terre Adelie, although the oldest crustal precursors (Nd T-DM model ages) are ca. 2.2-2.4 Ga old, inherited zircon SHRIMP ages are ca. 1.73-1.76, 2.6 and 2.8 Ga. The migmatitic evolution is restricted to a single event which is dated at 1.69 Ga by newly formed zircons (SHRIMP) and by U-Pb and Pb-207/Pb-206 evaporation TIMS ages of monazite. When interpreted as cooling ages, Sm-Nd garnet (1.60 Ga) and Rb-Sr micas (1.50 Ga) ages would be indicative of a slow cooling rate, suggestive of a long-lived major thermal anomaly. Geological processes such as sediment deposition, HT-LP metamorphism and anatexis and coeval intrusion of mafic magmas occurred during a very short time. This suggests that the migmatite complex is related to a major lithospheric thinning associated with a thermal anomaly coeval with syn-metamorphic mafic magmatism. Such thinning may have developed in a 2.8/2.4 Ga old basement, comparable with the Port Martin formations located 50 km further east. In the Gawler Craton (South Australia) similar units are found which could have formed, together with the Terre Adelie basement, as a single shield by a collage of various terrains that existed prior to ca. 1.5 to 1.6 Ga ago, comprising the 'Mawson Continent'. (C) 1999 Elsevier Science B.V. All rights reserved.</t>
  </si>
  <si>
    <t>Geosci Rennes, UPR CNRS 4661, F-35042 Rennes, France; Univ St Etienne, Dept Geol Petrol, UMR CNRS 6524, F-42023 St Etienne 2, France; Australian Natl Univ, Res Sch Earth Sci, Canberra, ACT 2000, Australia</t>
  </si>
  <si>
    <t>Universite de Rennes; Centre National de la Recherche Scientifique (CNRS); Centre National de la Recherche Scientifique (CNRS); Institut de Recherche pour le Developpement (IRD); Universite Clermont Auvergne (UCA); Universite Jean Monnet; Australian National University</t>
  </si>
  <si>
    <t>Geosci Rennes, UPR CNRS 4661, F-35042 Rennes, France.</t>
  </si>
  <si>
    <t>peucat@univ-rennes1.fr</t>
  </si>
  <si>
    <t>Fanning, Christopher Mark/I-6449-2016</t>
  </si>
  <si>
    <t>Fanning, Christopher Mark/0000-0003-3331-3145</t>
  </si>
  <si>
    <t>0301-9268</t>
  </si>
  <si>
    <t>1872-7433</t>
  </si>
  <si>
    <t>PRECAMBRIAN RES</t>
  </si>
  <si>
    <t>Precambrian Res.</t>
  </si>
  <si>
    <t>10.1016/S0301-9268(98)00119-3</t>
  </si>
  <si>
    <t>175TH</t>
  </si>
  <si>
    <t>WOS:000079110900003</t>
  </si>
  <si>
    <t>Massom, RA; Comiso, JC; Worby, AP; Lytle, VI; Stock, L</t>
  </si>
  <si>
    <t>Regional classes of sea ice cover in the East Antarctic pack observed from satellite and in situ data during a winter time period</t>
  </si>
  <si>
    <t>REMOTE SENSING OF ENVIRONMENT</t>
  </si>
  <si>
    <t>WEDDELL SEA; SNOW COVER; INSITU OBSERVATIONS; MICROWAVE; SURFACE; SUMMER; SIGNATURES; ZONE</t>
  </si>
  <si>
    <t>Ice concentration data alone are often of limited use in many process, and modeling studies as different ice regimes of approximately 100% concentration can have significantly different heat flux, albedo, and other surface properties. Current ice concentration algorithms perform poorly in regions of predominantly thin or highly fragmented ice, which constitute a significant proportion of the pack in East Antarctica. The impact of the sea ice cover on high latitude air-sea interactions and marine ecology depends not only on ice extent and concentration but also on the ice-type composition of the pack. An unsupervised ice classification scheme, using data from four channels of the SSM/I, is presented and tested as a means of gaining important additional, complementary information on surface type. Class interpretation is by comparison with AVHRR, ERS-1 SAR, and near-coincident digital aerial photography and in situ data. The classification does a reasonable job at consistently differentiating the large-scale constituent regimes, including the outer marginal ice zone, the interior pack, and a transition zone separating the two. Given the short period of data analyzed, the cluster maps appear to be generally coherent and consistent through time as the pack changes in response to synoptic-scale atmospheric forcing, although the robustness of the technique needs further testing over longer time periods. An observed crossover int he meridional brightness temperature profiles is a dominant and consistent feature which marks the transition from unconsolidated and wet ice in the marginal ice zone to more consolidated ice with a thicker and drier snow cover in the interior pack. Ambiguities occur at the boundaries of some of these regimes due to sensor resolution limitations and the mixing of different ice types and open water. Also, some ice classes (like brash ice) cannot be distinguished from forming pancake ice. Furthermore, although the signature of the inner pack is usually distinct from that of the outer pack, we observed one extraordinary swell propagation event which led to ice fracturing and surface wetting, and significantly altered the surface classification. The results of this multiparameter study underline the importance of using multisensor systems synergistically to improve interpretation of passive microwave data and better characterize the complex Antarctic pack. Published by Elsevier Science Inc.</t>
  </si>
  <si>
    <t>Antarctic Cooperat Res Ctr, Hobart, Tas 7001, Australia; NASA, Oceans &amp; Ice Branch, Goddard Space Flight Ctr, Greenbelt, MD 20771 USA; Australian Antarctic Div, Kingston, Tas, Australia; CAELUM Res Corp, Rockville, MD USA</t>
  </si>
  <si>
    <t>National Aeronautics &amp; Space Administration (NASA); NASA Goddard Space Flight Center; Australian Antarctic Division</t>
  </si>
  <si>
    <t>Massom, RA (corresponding author), Antarctic Cooperat Res Ctr, GPO Box 252-80, Hobart, Tas 7001, Australia.</t>
  </si>
  <si>
    <t>R.Massom@utas.edu.au</t>
  </si>
  <si>
    <t>0034-4257</t>
  </si>
  <si>
    <t>1879-0704</t>
  </si>
  <si>
    <t>REMOTE SENS ENVIRON</t>
  </si>
  <si>
    <t>Remote Sens. Environ.</t>
  </si>
  <si>
    <t>10.1016/S0034-4257(98)00100-X</t>
  </si>
  <si>
    <t>Environmental Sciences; Remote Sensing; Imaging Science &amp; Photographic Technology</t>
  </si>
  <si>
    <t>Environmental Sciences &amp; Ecology; Remote Sensing; Imaging Science &amp; Photographic Technology</t>
  </si>
  <si>
    <t>178KG</t>
  </si>
  <si>
    <t>WOS:000079264400006</t>
  </si>
  <si>
    <t>Barnola, JM</t>
  </si>
  <si>
    <t>Status of the atmospheric CO2 reconstruction from ice cores analyses</t>
  </si>
  <si>
    <t>PAST 2 CENTURIES; GREENLAND ICE; POLAR ICE; ANTARCTIC ICE; LAW-DOME; AIR; RECORD; FIRN; AGE; BP</t>
  </si>
  <si>
    <t>This note presents the development of the studies on past atmospheric CO2 variation based on ice-core analyses. Its aim is also to give the main references of these studies from the time of the discovery of the glacial-interglacial CO2 change in 1980 to the time of the Vth International CO2 Conference of Cairns in 1997.</t>
  </si>
  <si>
    <t>CNRS, Lab Glaciol &amp; Geophys Environm, St Martin Dheres, France</t>
  </si>
  <si>
    <t>CNRS, Lab Glaciol &amp; Geophys Environm, St Martin Dheres, France.</t>
  </si>
  <si>
    <t>1600-0889</t>
  </si>
  <si>
    <t>10.1034/j.1600-0889.1999.t01-1-00002.x</t>
  </si>
  <si>
    <t>211CY</t>
  </si>
  <si>
    <t>WOS:000081143400002</t>
  </si>
  <si>
    <t>Francey, RJ; Allison, CE; Etheridge, DM; Trudinger, CM; Enting, IG; Leuenberger, M; Langenfelds, RL; Michel, E; Steele, LP</t>
  </si>
  <si>
    <t>A 1000-year high precision record of δ13C in atmospheric CO2</t>
  </si>
  <si>
    <t>CARBON ISOTOPE DISCRIMINATION; ANTARCTIC ICE CORE; LAW-DOME; C-13/C-12 RATIOS; C-13-C-12 RATIO; TREE RINGS; DIOXIDE; FIRN; METHANE; OCEAN</t>
  </si>
  <si>
    <t>We present measurements of the stable carbon isotope ratio in air extracted from Antarctic ice core and firn samples. The same samples were previously used by Etheridge and co-workers to construct a high precision 1000-year record of atmospheric CO, concentration, featuring a close link between the ice and modern records and high-time resolution. Here we start by confirming the trend in the Cape Grim in situ delta(13)C record from 1982 to 1996, and extend it back to 1978 using the Cape Grim Air Archive. The firn air delta(13)C agrees with the Cape Grim record,but only after correction for gravitational separation at depth, for diffusion effects associated with disequilibrium between the atmosphere and firm, and allowance for a latidudinal gradient in delta(13)C between Cape Grim and the Antarctic coast. Complex calibration strategies are required to cope with several additional systematic influences on the ice core delta(13)C record. Errors are assigned to each ice core value to reflect statistical and systematic biases (between +/- 0.025 parts per thousand and +/- 0.07 parts per thousand); uncertainties (of up to +/- 0.05 parts per thousand) between core-versus-core, ice-versus-fun and fim-versus-troposphere are described separately. An almost continuous atmospheric history of delta(13)C over 1000 years results, exhibiting significant decadal-to-century scale variability unlike that from earlier proxy records. The decrease in delta(13)C from 1860 to 1960 involves a series of steps confirming enhanced sensitivity of delta(13)C to decadal timescale-forcing, compared to the CO2 record. Synchronous with a Little Ice Age CO2 decrease, an enhancement of delta(13)C implies a terrestrial response to coder temperatures. Between 1200 AD and 1600 AD, the atmospheric delta(13)C appear stable.</t>
  </si>
  <si>
    <t>CSIRO Atmospher Res, Aspendale, Vic 3195, Australia; Cooperat Res Ctr So Hemisphere Meteorol, Melbourne, Vic 3168, Australia; Univ Bern, Inst Phys, CH-3012 Bern, Switzerland; CEA, Lab CNRS, Ctr Faibles Radioact, F-91198 Gif Sur Yvette, France</t>
  </si>
  <si>
    <t>Commonwealth Scientific &amp; Industrial Research Organisation (CSIRO); University of Bern; Centre National de la Recherche Scientifique (CNRS); CEA; Universite Paris Saclay</t>
  </si>
  <si>
    <t>Francey, RJ (corresponding author), CSIRO Atmospher Res, Private Bag 1, Aspendale, Vic 3195, Australia.</t>
  </si>
  <si>
    <t>Leuenberger, Markus C/K-9655-2016; Francey, Roger J/A-2345-2012; Steele, Paul/B-3185-2009; Etheridge, David M/B-7334-2013; Langenfelds, Raymond L/B-5381-2012; Trudinger, Cathy/A-2532-2008</t>
  </si>
  <si>
    <t>Leuenberger, Markus C/0000-0003-4299-6793; Enting, Ian/0000-0002-9667-3271; Trudinger, Cathy/0000-0002-4844-2153; Etheridge, David/0000-0001-7970-2002</t>
  </si>
  <si>
    <t>CO-ACTION PUBLISHING</t>
  </si>
  <si>
    <t>JARFALLA</t>
  </si>
  <si>
    <t>RIPVAGEN 7, JARFALLA, SE-175 64, SWEDEN</t>
  </si>
  <si>
    <t>10.1034/j.1600-0889.1999.t01-1-00005.x</t>
  </si>
  <si>
    <t>WOS:000081143400005</t>
  </si>
  <si>
    <t>Iken, K</t>
  </si>
  <si>
    <t>Feeding ecology of the Antarctic herbivorous gastropod Laevilacunaria antarctica Martens</t>
  </si>
  <si>
    <t>Antarctica; feeding ecology; herbivory; Laevilacunaria antarctica; macroalgae</t>
  </si>
  <si>
    <t>KING-GEORGE ISLAND; CHEMICAL DEFENSES; MUCUS PRODUCTION; UNIFIED APPROACH; PATELLA-VULGATA; ENERGY BUDGET; BROWN-ALGAE; POTTER COVE; MARINE; POPULATION</t>
  </si>
  <si>
    <t>The grazing activity of the Antarctic prosobranch gastropod Laevilacunaria antarctica on macroalgae was investigated in order to evaluate its position in the shallow water food web of Potter Cove, King George Island, Antarctica. From 12 abundant macroalgal species tested in feeding experiments, L. antarctica avoided only three species, the brown algae Ascoseira mirabilis, Phaeurus antarcticus, and Himantothallus grandifolius, significantly. The gastropod can be classified as a general feeder on macroalgae in the rocky intertidal and shallow waters of Potter Cove. Comparative grazing experiments showed that epiphytic diatoms contribute about 2/3 to the total diet of L. antarctica. Mean abundance and biomass of the snails in this area were 292.0+/-135.3 (S.D.) ind m(-2) and 1.549+/-1.021 (S.D.) g AFDW m(-2), respectively. The total consumption of macroalgae by the population of L. antarctica in Potter Cove is estimated to be 118 kJ m(-2) year(-1). This alone, however, is not sufficient to sustain the standing stock of gastropods in the investigation area. Grazing experiments showed that feeding on macroalgae which carry epiphytic diatoms is about three times higher than on macroalgae without epiphytes. It is therefore concluded that the population of L. antarctica in Potter Cove is maintained by consumption of both epiphytic diatoms and macroalgae. Feeding experiments showed that chemical compounds of macroalgae are not active in a chemical defense against grazing of L. antarctica. It is therefore discussed that structural characteristics of the algae can explain the low grazing ran of L. antarctica on some macroalgal species. Various models explaining macroalgal-herbivore relationships based on functional groups of algae are considered. The predictions on the feeding of L. antarctica derived from these functional form models in many cases correspond with the results derived from feeding experiments in this study. They are, however, inconsistent regarding grazing on or avoidance of some algal species and thereby obscure important information on special adaptations of organisms, e.g. L. antarctica, in macroalgal-herbivore interactions. (C) 1999 Elsevier Science BN. All rights reserved.</t>
  </si>
  <si>
    <t>Iken, K (corresponding author), Alfred Wegener Inst Polar &amp; Marine Res, Postfach 120 161,Columbusstr, D-27515 Bremerhaven, Germany.</t>
  </si>
  <si>
    <t>MAR 31</t>
  </si>
  <si>
    <t>10.1016/S0022-0981(98)00199-3</t>
  </si>
  <si>
    <t>179NZ</t>
  </si>
  <si>
    <t>WOS:000079336100008</t>
  </si>
  <si>
    <t>Reusch, DB; Mayewski, PA; Whitlow, SI; Pittalwala, II; Twickler, MS</t>
  </si>
  <si>
    <t>Spatial variability of climate and past atmospheric circulation patterns from central West Antarctic glaciochemistry</t>
  </si>
  <si>
    <t>SOUTH-POLE; ICE CORES; GREENLAND; NITRATE; SNOW; PRECIPITATION; ACCUMULATION; RECORD; OCEAN</t>
  </si>
  <si>
    <t>Atmospheric circulation patterns and the spatial variability of atmospheric chemistry and moisture transport in central West Antarctica are investigated using new 40 year long (1954-1994 A.D.) glaciochemical and accumulation rate records developed from four firn cores from this region. The core sites lie on a 200 km traverse from 82 degrees 22' S, 119 degrees 17' W to 81 degrees 22' S, 107 degrees 17' W. The glaciochemical records represent the major ionic species present in Antarctic snow: Na+, K+, Mg2+, Ca2+, Cl-, NO3-, and SO42-. High spatial variability appears in comparisons of full record averages and poor intersite linear correlation results. Accumulation rates show 50-100% changes over distances of 50-100 km and sea-salt concentrations drop by 50% between the middle two sites. One likely contributor to the high variability seen at this spatial scale is variability in synoptic- and finer-scale meteorology. Empirical orthogonal function (EOF) analysis shows that 80% or more of the variance in site chemistry can be attributed to two types of air masses: winter season air (50-70% of site variance) with a strong marine signature (heavy loading of sea-salt species) and summer season air (21% of the variance), marked by marine biogenic non-sea-salt SO4 plus NO3. This pattern of winter and summer regimes appears at other West Antarctic sites suggesting it may apply to the entire region. We show that a general picture of the patterns of variability in West Antarctica can best be drawn by using an analysis technique that fully exploits high resolution, multiparameter, multisite data sets.</t>
  </si>
  <si>
    <t>Univ New Hampshire, Inst Study Earth Oceans &amp; Space, Climate Change Res Ctr, Durham, NH 03824 USA; Univ New Hampshire, Dept Earth Sci, Durham, NH 03824 USA</t>
  </si>
  <si>
    <t>University System Of New Hampshire; University of New Hampshire; University System Of New Hampshire; University of New Hampshire</t>
  </si>
  <si>
    <t>Penn State Univ, Dept Geosci, State Coll, PA 16801 USA.</t>
  </si>
  <si>
    <t>dbr@geosc.psu.edu; Paul_Mayewski@grg.sr.unh.edu; ip@gr10.ps.uci.edu</t>
  </si>
  <si>
    <t>Mayewski, Paul Andrew/HRD-6969-2023</t>
  </si>
  <si>
    <t>Reusch, David/0000-0002-7582-363X</t>
  </si>
  <si>
    <t>MAR 27</t>
  </si>
  <si>
    <t>D6</t>
  </si>
  <si>
    <t>10.1029/1998JD200056</t>
  </si>
  <si>
    <t>180AY</t>
  </si>
  <si>
    <t>WOS:000079363700002</t>
  </si>
  <si>
    <t>Vaughan, DG; Corr, HFJ; Doake, CSM; Waddington, ED</t>
  </si>
  <si>
    <t>Distortion of isochronous layers in ice revealed by ground-penetrating radar</t>
  </si>
  <si>
    <t>INTERNAL LAYERS; CREVASSES; GREENLAND; SUMMIT</t>
  </si>
  <si>
    <t>In addition to measuring ice-sheet thickness, ground-penetrating radar can be used to delineate reflections in ice sheets(1-3). These reflections are generally accepted to result from layers of isochronous deposition of snow and can reveal much about the dynamics of the ice now. Here we present ground-penetrating radar data from Fletcher Promontory, Antarctica, which show arches and troughs in isochronous ice layers to a depth of 100 m, We demonstrate that the origin of these features can be determined by their growth with depth, and many features result from local anomalies in accumulation rate which can be correlated with the ice surface slope. One arch appears to be the result of a local anomaly in vertical strain-rate. Its proximity to the ice divide, width, and growth with depth, indicate that this arch is one of a class of features postulated by Raymond(4) but not previously shown to exist in the field. Such a feature is an indication of the nonlinear rheology of ice and requires that palaeoclimate records from ice cores extracted from the vicinity of ice divides underlain by similar features should be specifically corrected for such effects on ice-flow.</t>
  </si>
  <si>
    <t>British Antarctic Survey, Cambridge CB3 0ET, England; Univ Washington, Geophys Program, Seattle, WA 98195 USA</t>
  </si>
  <si>
    <t>UK Research &amp; Innovation (UKRI); Natural Environment Research Council (NERC); NERC British Antarctic Survey; University of Washington; University of Washington Seattle</t>
  </si>
  <si>
    <t>Vaughan, David/C-8348-2011; Corr, Hugh/C-5398-2011</t>
  </si>
  <si>
    <t>Vaughan, David/0000-0002-9065-0570</t>
  </si>
  <si>
    <t>MAR 25</t>
  </si>
  <si>
    <t>10.1038/18653</t>
  </si>
  <si>
    <t>180DF</t>
  </si>
  <si>
    <t>WOS:000079369600048</t>
  </si>
  <si>
    <t>Vetter, W</t>
  </si>
  <si>
    <t>Identification of an unknown major organochlorine contaminant in blubber of seals from Africa, the Antarctic, as well as other regions and tissues.</t>
  </si>
  <si>
    <t>ABSTRACTS OF PAPERS OF THE AMERICAN CHEMICAL SOCIETY</t>
  </si>
  <si>
    <t>Univ Jena, Inst Food &amp; Environm, D-07743 Jena, Germany</t>
  </si>
  <si>
    <t>Friedrich Schiller University of Jena</t>
  </si>
  <si>
    <t>0065-7727</t>
  </si>
  <si>
    <t>ABSTR PAP AM CHEM S</t>
  </si>
  <si>
    <t>Abstr. Pap. Am. Chem. Soc.</t>
  </si>
  <si>
    <t>MAR 21</t>
  </si>
  <si>
    <t>005-ENVR</t>
  </si>
  <si>
    <t>U716</t>
  </si>
  <si>
    <t>176JN</t>
  </si>
  <si>
    <t>WOS:000079148102216</t>
  </si>
  <si>
    <t>Bachle, LA; Smith, DD; Petzel, DH</t>
  </si>
  <si>
    <t>Isolation and characterization of insulin from the Brockmann body of Dissostichus mawsoni, an antarctic teleost.</t>
  </si>
  <si>
    <t>FASEB JOURNAL</t>
  </si>
  <si>
    <t>Creighton Univ, Sch Med, Omaha, NE 68178 USA</t>
  </si>
  <si>
    <t>Creighton University</t>
  </si>
  <si>
    <t>FEDERATION AMER SOC EXP BIOL</t>
  </si>
  <si>
    <t>9650 ROCKVILLE PIKE, BETHESDA, MD 20814-3998 USA</t>
  </si>
  <si>
    <t>0892-6638</t>
  </si>
  <si>
    <t>FASEB J</t>
  </si>
  <si>
    <t>Faseb J.</t>
  </si>
  <si>
    <t>MAR 15</t>
  </si>
  <si>
    <t>A713</t>
  </si>
  <si>
    <t>Biochemistry &amp; Molecular Biology; Biology; Cell Biology</t>
  </si>
  <si>
    <t>Biochemistry &amp; Molecular Biology; Life Sciences &amp; Biomedicine - Other Topics; Cell Biology</t>
  </si>
  <si>
    <t>228JG</t>
  </si>
  <si>
    <t>WOS:000082132900382</t>
  </si>
  <si>
    <t>Wren, E; Zwanzig, G; Petzel, D</t>
  </si>
  <si>
    <t>Inhibition of thyriod hormone activity increases serum osmolarity in Antarctic fish.</t>
  </si>
  <si>
    <t>Creighton Univ, Sch Med, Dept Biomed Sci, Omaha, NE 68178 USA; Dupont Manual High Sch, Louisville, KY 40208 USA</t>
  </si>
  <si>
    <t>A714</t>
  </si>
  <si>
    <t>WOS:000082132900386</t>
  </si>
  <si>
    <t>Troshichev, OA; Kokubun, S; Kamide, Y; Mukai, T; Yamamoto, T</t>
  </si>
  <si>
    <t>Fast earthward plasma flows observed in the mid/distant tail under quiet conditions: relation to substorms</t>
  </si>
  <si>
    <t>DISTANT MAGNETOTAIL; CONVECTION; EVOLUTION; MODEL; TIMES</t>
  </si>
  <si>
    <t>Measurements of the magnetic field and low energy plasma by the GEOTAIL spacecraft have been used to study fast earthward plasma flows in the distant (130-200 R-E) and middle (40-80 R-E) tail and their relationship to substorms. Results of the analysis show that high-speed earthward ion flows are often observed in the mid/distant tail under conditions of low magnetic activity (AE similar to 100 nT), when the IMF B-Z component is northward or oscillates to about zero. A considerable portion of the fast earthward flows (29% in the distant tail and 53% in the middle tail) seems to be a precursor to substorm expansion onsets on the Earth. These flows occur at closed magnetic field lines. The cause and effect relationship between fast earthward plasma flows in the distant tail and substorm activity suggests that a neutral line can form at distances far beyond 100 R-E during quiet conditions.</t>
  </si>
  <si>
    <t>Arctic &amp; Antarctic Res Inst, St Petersburg 199397, Russia; Nagoya Univ, Solar Terr Environm Lab, Aichi 442, Japan; Inst Space &amp; Astronaut Sci, Sagamihara, Kanagawa 229, Japan</t>
  </si>
  <si>
    <t>Troshichev, OA (corresponding author), Arctic &amp; Antarctic Res Inst, St Petersburg 199397, Russia.</t>
  </si>
  <si>
    <t>10.1029/1999GL900079</t>
  </si>
  <si>
    <t>177JT</t>
  </si>
  <si>
    <t>WOS:000079207400005</t>
  </si>
  <si>
    <t>Beal, LM; Bryden, HL</t>
  </si>
  <si>
    <t>The velocity and vorticity structure of the Agulhas Current at 32°S</t>
  </si>
  <si>
    <t>SOUTH INDIAN-OCEAN; GULF-STREAM; POTENTIAL VORTICITY; VOLUME TRANSPORT; SEA-WATER; CIRCULATION; SECTION</t>
  </si>
  <si>
    <t>The full depth velocity field of the Agulhas Current, the Western Boundary Current of the southwest Indian Ocean, has been directly measured using a lowered acoustic Doppler current profiler (LADCP). Fifteen combined conductivity-temperature-depth (CTD) and LADCP stations were occupied across the current at 32 degrees S off the east coast of South Africa in February-March 1995, as part of the World Ocean Circulation Experiment Indian Ocean program. The deep velocity structure of the Agulhas Current was found to be very different than previously described using geostrophic estimates. In particular, LADCP results reveal a V-shaped pattern for the level of no motion across the Agulhas Current and an Agulhas Undercurrent is observed flowing equatorward below 800 m depth, directly beneath the surface core of the poleward flowing Agulhas Current. Comparisons of direct and geostrophic velocities suggest that the velocity structure of the Agulhas Current is essentially geostrophic below about 200 m depth, where differences are generally less than estimated errors. Above these depths the LADCP-measured shears and geostrophic shears exhibit differences and velocities can diverge. Shipboard ADCP data support LADCP results near the surface, indicating that both instruments are measuring real signals. The geostrophic and LADCP-measured shears are well matched away from the surface, and a depth-averaged fit (below 200 m) between them exhibits small standard deviations. The geostrophic volume transport of the Agulhas Current, as referenced to LADCP, is 73 Sv, and is just 3% different from the direct LADCP transport estimate. The most recent full depth estimate of Agulhas Current transport in the literature is given by Toole and Warren [1993], who estimate a geostrophic volume transport of 85 Sv. The baroclinic velocity structures from their section and from this work are similar, indicating that the difference in the transport estimates is due to the choice of geostrophic reference level and ultimately to the presence of the previously unobserved Agulhas Undercurrent. Combined CTD/LADCP data are very useful for potential vorticity analysis, since velocity and density measurements are simultaneous and coincident. The vorticity structure of the Agulhas Current suggests the presence of a mixing boundary at middepths, similar to features observed in the Gulf Stream. The feature appears to be associated with a sharp upturn in isopycnals, coincident with the foot of the continental slope. The boundary inhibits cross-stream mixing of intermediate water masses and may help explain the appearance of a discrete filament of Red Sea Water inshore of Antarctic Intermediate Waters in the same density layer, despite intense cross-stream shears.</t>
  </si>
  <si>
    <t>Southampton Oceanog Ctr, Southampton SO14 3ZH, Hants, England</t>
  </si>
  <si>
    <t>NERC National Oceanography Centre; University of Southampton</t>
  </si>
  <si>
    <t>Columbia Univ, Lamont Doherty Geol Observ, Palisades, NY 10964 USA.</t>
  </si>
  <si>
    <t>lbeal@ldeo.columbia.edu</t>
  </si>
  <si>
    <t>Beal, Lisa/0000-0003-3678-5367</t>
  </si>
  <si>
    <t>C3</t>
  </si>
  <si>
    <t>10.1029/1998JC900056</t>
  </si>
  <si>
    <t>177YZ</t>
  </si>
  <si>
    <t>WOS:000079239800002</t>
  </si>
  <si>
    <t>Gille, ST</t>
  </si>
  <si>
    <t>Mass, heat, and salt transport in the southeastern Pacific: A Circumpolar Current inverse model</t>
  </si>
  <si>
    <t>GLOBAL OCEAN CIRCULATION; SOUTHERN-OCEAN; DRAKE PASSAGE; FLUXES; VARIABILITY; BUDGET</t>
  </si>
  <si>
    <t>A box inverse model for the southeastern Pacific is used to combine hydrographic measurements with synoptic information from floats, acoustic Doppler surface velocity measurements, altimeter-derived surface geostrophic velocities, and wind measurements. The southeastern Pacific is marked by substantial changes in eddy kinetic energy along the path of the Antarctic Circumpolar Current (ACC), associated with he Eltanin and Udintsev Fracture Zones in the East Pacific Rise. The results of the inverse model show that the heat and salt carried by the ACC are essentially unchanged as the current passes through regions of high eddy variability. Thus, within the error bars of the available measurements the ACC appears not to exchange significant water properties with its surroundings in the southeastern Pacific Ocean. (The system is geographically variable, and elsewhere in the Southern Ocean, meridional exchanges may be substantial.) Meridional flow through the north side of the inverse model domain is consistent with an overturning circulation that carries surface intermediate water northward and returns deep water southward into the ACC. Diapycnal fluxes identified in the inverse solution indicate that water mass transformation occurs predominantly in the outcropping upper layers of the ocean.</t>
  </si>
  <si>
    <t>Univ Calif Irvine, Dept Earth Syst Sci, Irvine, CA 92697 USA</t>
  </si>
  <si>
    <t>University of California System; University of California Irvine</t>
  </si>
  <si>
    <t>Gille, ST (corresponding author), Univ Calif Irvine, Dept Earth Syst Sci, Irvine, CA 92697 USA.</t>
  </si>
  <si>
    <t>sgille@uci.edu</t>
  </si>
  <si>
    <t>Gille, Sarah T./B-3171-2012</t>
  </si>
  <si>
    <t>Gille, Sarah/0000-0001-9144-4368</t>
  </si>
  <si>
    <t>10.1029/1998JC900106</t>
  </si>
  <si>
    <t>WOS:000079239800004</t>
  </si>
  <si>
    <t>Wang, L; Sarnthein, M; Erlenkeuser, H; Grimalt, JO; Grootes, P; Heilig, S; Ivanova, E; Kienast, M; Pelejero, C; Pflaumann, U</t>
  </si>
  <si>
    <t>East Asian monsoon climate during the Late Pleistocene: high-resolution sediment records from the south China Sea</t>
  </si>
  <si>
    <t>30th International Geological Congress</t>
  </si>
  <si>
    <t>AUG 08-09, 1996</t>
  </si>
  <si>
    <t>Late Pleistocene; variability of East Asian monsoon; paleoceanography South China Sea; global climate teleconnections; marine loess deposits; sub-millennial climate periodicities</t>
  </si>
  <si>
    <t>LIVING PLANKTONIC-FORAMINIFERA; NORTH-ATLANTIC OCEAN; OXYGEN-ISOTOPE RECORDS; DEEP-WATER CIRCULATION; RADIOCARBON TIME SCALE; LAST GLACIAL MAXIMUM; YOUNGER DRYAS EVENT; U-TH AGES; PACIFIC-OCEAN; SURFACE TEMPERATURE</t>
  </si>
  <si>
    <t>Based on the study of 10 sediment cores and 40 core-top samples from the South China Sea (SCS) we obtained proxy records of past changes in East Asian monsoon climate on millennial to bidecadal time scales over the last 220,000 years. Climate proxies such as global sea level, estimates of paleotemperature, salinity, and nutrients in surface water, ventilation of deep water, paleowind strength, freshwater lids, fluvial and/or eolian sediment supply, and sediment winnowing on the sea floor were derived from planktonic and benthic stable-isotope records, the distribution of siliciclastic grain sizes, planktonic foraminifera species, and the U-37(K) biomarker index. Four cores were AMS-C-14-dated. Two different regimes of monsoon circulation dominated the SCS over the last two glacial cycles, being linked to the minima and maxima of Northern Hemisphere solar insolation. (1) Glacial stages led to a stable estuarine circulation and a strong O-2-minimum layer via a closure of the Borneo sea strait. Strong northeast monsoon and cool surface water occurred during winter, in part fed by an inflow from the north tip of Luzon. In contrast, summer temperatures were as high as during interglacials, hence the seasonality was strong. Low wetness in subtropical South China was opposed to large river input from the emerged Sunda shelf, serving as glacial refuge for tropical forest. (2) Interglacials were marked by a strong inflow of warm water via the Borneo sea strait, intense upwelling southeast of Vietnam and continental wetness in China during summer, weaker northeast monsoon and high sea-surface temperatures during winter, i.e, low seasonality. On top of the long-term variations we found millennial- to centennial-scale cold and dry, warm and humid spells during the Holocene, glacial Terminations I and II, and Stage 3. The spells were coeval with published variations in the Indian monsoon and probably, with the cold Heinrich and warm Dansgaard-Oeschger events recorded in Greenland ice cores, thus suggesting global climatic teleconnections. Holocene oscillations in the runoff from South China centered around periodicities of 775 years, ascribed to subharmonics of the 1500-year cycle in oceanic thermohaline circulation. 102/84-year cycles are tentatively assigned to the Gleissberg period of solar activity. Phase relationships among various monsoon proxies near the onset of Termination IA suggest that summer-monsoon rains and fluvial runoff from South China had already intensified right after the last glacial maximum (LGM) insolation minimum, coeval with the start of Antarctic ice melt prior to the delta(18)O signals of global sea-level rise. Vice versa, the strength of winter-monsoon winds decreased in short centennial steps only 3000-4000 years later, along with the melt of glacial ice sheets in the Northern Hemisphere. (C) 1999 Elsevier Science B.V. All rights reserved.</t>
  </si>
  <si>
    <t>Univ Kiel, Inst Geosci, Kiel, Germany; Univ Kiel, Leibniz Lab, Kiel, Germany; Ctr D Invest &amp; Desenvolupament, Dept Quim Ambiental, Barcelona, Catalonia, Spain</t>
  </si>
  <si>
    <t>University of Kiel; University of Kiel</t>
  </si>
  <si>
    <t>Hokkaido Univ, Grad Sch Environm Earth Sci, Kita Ku, W5 N10, Sapporo, Hokkaido, Japan.</t>
  </si>
  <si>
    <t>ljwang@ees.hokudai.ac.jp</t>
  </si>
  <si>
    <t>Ivanova, Elena V/B-3775-2016; Pelejero, Carles/AAF-4550-2019; Grootes, Pieter M/F-4952-2011; Ivanova, Elena/AAW-2881-2020; Grimalt, Joan/E-2073-2011</t>
  </si>
  <si>
    <t>Pelejero, Carles/0000-0002-7763-7769; Ivanova, Elena/0000-0003-3926-0590; Grootes, Pieter/0000-0003-4265-3168; Grimalt, Joan/0000-0002-7391-5768; Kienast, Stephanie/0000-0003-3867-4919</t>
  </si>
  <si>
    <t>10.1016/S0025-3227(98)00182-0</t>
  </si>
  <si>
    <t>175WU</t>
  </si>
  <si>
    <t>WOS:000079119500012</t>
  </si>
  <si>
    <t>Doran, PT; Berger, GW; Lyons, WB; Wharton, RA; Davisson, ML; Southon, J; Dibb, JE</t>
  </si>
  <si>
    <t>Dating Quaternary lacustrine sediments in the McMurdo Dry Valleys, Antarctica</t>
  </si>
  <si>
    <t>Antarctica; geochronology; dating; lacustrine; lakes; sediments</t>
  </si>
  <si>
    <t>COVERED LAKE-HOARE; MARINE-SEDIMENTS; EAST ANTARCTICA; RADIOCARBON; ICE; THERMOLUMINESCENCE; EVOLUTION; OCEAN; SPECTROMETER; ECOSYSTEMS</t>
  </si>
  <si>
    <t>Reports of erroneously old C-14 dates for modem Antarctic materials have thrown doubt into C-14 chronologies. The carbon reservoir effect purported to exist in Quaternary lacustrine sediments of the McMurdo Dry Valleys was investigated by studying C-14 distribution, and testing alternate dating techniques. Our results show that the carbon reservoir effect is not pervasive, Stream and near-shore microbial mats and dissolved inorganic carbon (DIC) in the surface waters of Lake Fryxell are in equilibrium with modem (CO2)-C-14. The surface waters of Lake Hoare and Lake Bonney, however, have DIC C-14 ages of 1650 and 2080 yr B.P., respectively. These older age estimates are suggested to be due to the direct input of large amounts of glacial melt with relict DIG. On the other hand, Lake Fryxell receives only a minor component of its inflow directly from a glacier, while a large component must travel long distances in numerous shallow ephemeral streams after leaving local valley glaciers. This mode of melt-water input allows the water to equilibrate with modern CO2 before entering the lake. Bottom-water C-14 ages for Lake Hoare closely match surface sediment ages, supporting the widely published period similar to 1200 yr B.P. (after a 1650 yr reservoir correction) when most dry valley lakes apparently evaporated to small brine ponds and/or disappeared completely. Lake Bonney bottom-water is similar to 8000 yr B.P. Carbon dating is shown to be a viable technique for lake edge deposits, and possibly lake bottom deposits where a correction to the sediment surface ase can be obtained. However, we conclude that deep-water paleolake deposits can not be reliably dated using C-14 alone because of an inability to determine the age of the reservoir correction (i.e. accounting for the initial carbon reservoir, plus the age of the bottom water). A suite of alternative and complimentary dating techniques were tested on modern and late Holocene lacustrine deposits. These include thermoluminescence (TL), Pb-210,Cs-137,and paleomagnetism. Of these techniques, TL (or the more sensitive optically stimulated luminescence) holds the most promise for correcting lake sediment C-14 ages. TL dating of the modem Lake Hoare sediments showed an similar to 1000 yr relict signal. This signal is unaffected by the age of the lake water. Both Pb-210 and Cs-137 occurred in very low levels in the sediments and do not appear to be viable dating techniques for the perennially ice-covered lakes of the McMurdo Dry Valleys. Paleomagnetism was not suited to the coarse-grained nature of Lake Hoare bottom sediments, but could be a useful alternative given a finer sediment type. (C) 1999 Elsevier Science B.V. All rights reserved.</t>
  </si>
  <si>
    <t>Univ Illinois, Chicago, IL 60607 USA; Desert Res Inst, Reno, NV 89512 USA; Univ Alabama, Dept Geol, Tuscaloosa, AL 35487 USA; Univ Calif Lawrence Livermore Natl Lab, Livermore, CA 94550 USA; Univ New Hampshire, Glacier Res Grp, Durham, NH 03824 USA</t>
  </si>
  <si>
    <t>University of Illinois System; University of Illinois Chicago; University of Illinois Chicago Hospital; Nevada System of Higher Education (NSHE); Desert Research Institute NSHE; University of Alabama System; University of Alabama Tuscaloosa; United States Department of Energy (DOE); Lawrence Livermore National Laboratory; University of California System; University System Of New Hampshire; University of New Hampshire</t>
  </si>
  <si>
    <t>Doran, PT (corresponding author), Univ Illinois, Chicago, IL 60607 USA.</t>
  </si>
  <si>
    <t>pdoran@uic.edu</t>
  </si>
  <si>
    <t>10.1016/S0031-0182(98)00159-X</t>
  </si>
  <si>
    <t>174XU</t>
  </si>
  <si>
    <t>WOS:000079062400004</t>
  </si>
  <si>
    <t>Guynn, S; Dowd, F; Petzel, D</t>
  </si>
  <si>
    <t>Differences in osmoregulatory responses to warm acclimation in Antarctic and temperate nototheniid fish.</t>
  </si>
  <si>
    <t>Creighton Univ, Sch Med, Dept Biomed Sci, Omaha, NE 68178 USA</t>
  </si>
  <si>
    <t>MAR 12</t>
  </si>
  <si>
    <t>A383</t>
  </si>
  <si>
    <t>226QW</t>
  </si>
  <si>
    <t>WOS:000082033302214</t>
  </si>
  <si>
    <t>Márquez, M; Vodopivez, C; Casaux, R; Curtosi, A</t>
  </si>
  <si>
    <t>Levels of total mercury in Antarctic organisms from King George Island, South Shetland Islands, Antarctica.</t>
  </si>
  <si>
    <t>Argentine Antarctic Inst, RA-1010 Buenos Aires, DF, Argentina; Sch Pharm &amp; Biochem, RA-1113 Buenos Aires, DF, Argentina</t>
  </si>
  <si>
    <t>A258</t>
  </si>
  <si>
    <t>WOS:000082033301488</t>
  </si>
  <si>
    <t>Fischer, H; Wahlen, M; Smith, J; Mastroianni, D; Deck, B</t>
  </si>
  <si>
    <t>Ice core records of atmospheric CO2 around the last three glacial terminations</t>
  </si>
  <si>
    <t>CLIMATE-CHANGE; GREENLAND; PERIOD; INCREASE; AGE</t>
  </si>
  <si>
    <t>Air trapped in bubbles in polar ice cores constitutes an archive for the reconstruction of the global carbon cycle and the relation between greenhouse gases and climate in the past. High-resolution records from Antarctic ice cores show that carbon dioxide concentrations increased by 80 to 100 parts per million by volume 600 +/- 400 years after the warming of the Last three deglaciations. Despite strongly decreasing temperatures, high carbon dioxide concentrations can be sustained for thousands of years during glaciations; the size of this phase Lag is probably connected to the duration of the preceding warm period, which controls the change in land ice coverage and the buildup of the terrestrial biosphere.</t>
  </si>
  <si>
    <t>Univ Calif San Diego, Scripps Inst Oceanog, Geosci Res Div, La Jolla, CA 92093 USA</t>
  </si>
  <si>
    <t>Fischer, H (corresponding author), Univ Calif San Diego, Scripps Inst Oceanog, Geosci Res Div, La Jolla, CA 92093 USA.</t>
  </si>
  <si>
    <t>Fischer, Hubertus/A-1211-2014</t>
  </si>
  <si>
    <t>Fischer, Hubertus/0000-0002-2787-4221</t>
  </si>
  <si>
    <t>10.1126/science.283.5408.1712</t>
  </si>
  <si>
    <t>175PF</t>
  </si>
  <si>
    <t>WOS:000079102800044</t>
  </si>
  <si>
    <t>Sinha, R; Chatterjee, A; Panda, AK; Mitra, A</t>
  </si>
  <si>
    <t>Thermal structure and heat budget of Priyadarshini Lake, Schirmacher Oasis, East Antarctica</t>
  </si>
  <si>
    <t>Data on thermal structure and heal budget of Priyadarshini Lake, Schirmacher Oasis, East Antarctica are presented, Available data during the summer of the sixteenth Indian Antarctic Expedition (December 1996-March 1997) reveal that the Priyadarshini Lake was weakly stratified. The lake became unstratified as the winter period approached.</t>
  </si>
  <si>
    <t>Indian Inst Technol, Dept Civil Engn, Engn Geol Grp, Kanpur 208016, Uttar Pradesh, India; Antarctic Study Ctr, Dept Ocean Dev, Vasco Da Gama 403804, Goa, India</t>
  </si>
  <si>
    <t>Indian Institute of Technology System (IIT System); Indian Institute of Technology (IIT) - Kanpur</t>
  </si>
  <si>
    <t>Sinha, R (corresponding author), Indian Inst Technol, Dept Civil Engn, Engn Geol Grp, Kanpur 208016, Uttar Pradesh, India.</t>
  </si>
  <si>
    <t>rsinha@iitk.ac.in</t>
  </si>
  <si>
    <t>SINHA, RAJIV/AAC-6250-2022</t>
  </si>
  <si>
    <t>INDIAN ACAD SCIENCES</t>
  </si>
  <si>
    <t>C V RAMAN AVENUE, SADASHIVANAGAR, P B #8005, BANGALORE 560 080, INDIA</t>
  </si>
  <si>
    <t>MAR 10</t>
  </si>
  <si>
    <t>177ZR</t>
  </si>
  <si>
    <t>WOS:000079241400022</t>
  </si>
  <si>
    <t>Marks, KM; Stock, JM; Quinn, KJ</t>
  </si>
  <si>
    <t>Evolution of the Australian-Antarctic discordance since Miocene time</t>
  </si>
  <si>
    <t>SEA-FLOOR; DEPTH ANOMALIES; PLUME MATERIAL; LATERAL FLOW; PLATES; OCEAN; BOUNDARY; RIDGE; SEGMENTATION; ROTATIONS</t>
  </si>
  <si>
    <t>In this study we chronicle the development of the Australian-Antarctic discordance (AAD), the crenelated portion of the Southeast Indian Ridge between similar to 120 degrees and 128 degrees E, since anomaly 6y time (19 Ma). We reconstruct satellite-derived marine gravity fields and depth anomalies at selected times by first removing anomalies overlying seafloor younger than the selected age, and then rotating the remaining anomalies through improved finite rotations based on a very detailed set of magnetic anomaly identifications. Our gravity field reconstructions reveal that the overall length of the Australian-Antarctic plate boundary within the AAD has been increasing since 19 Ma. Concomitantly, the number of propagating rifts and fracture zones in the vicinity of the discordance has increased dramatically in recent times, effectively dividing it into its present-day configuration of five distinct spreading corridors (B1-B5) that are offset alternately to the north and south and exhibit varying degrees of asymmetric spreading. Our bathymetric reconstructions show that the regional, arcuate-shaped, negative depth anomaly (deeper than predicted by normal lithospheric cooling models) presently centered on the discordance began migrating westward before anomaly 5ad time (similar to 14.4 Ma), and that a localized depth anomaly low, which at time 5ad lay on the ridge axis in spreading corridor B5, has been split apart by subsequent seafloor spreading. The magnetic anomaly patterns suggest that the depth anomaly is not always associated with a particularly contorted plate boundary geometry. Although the plate boundary within the AAD has been getting progressively more crenelated with time, this effect shows little to no migration along the ridge axis since 19 Ma. Thus any geodynamic models of the evolution of the discordance must account for the following observations: (1) the crenelation of the plate boundary within the AAD has increased with time, (2) the center of the crenelated zone does not appear to have migrated along the ridge crest, and (3) both the depth anomaly and the isotopic boundary between Pacific and Indian mantle have been migrating westward along the ridge axis but at apparently different rates. We suggest that both along-axis migration of the depth anomaly and isotopic boundary, as well as temporal variation in the upwelling mantle material beneath the AAD, and local tectonic effects are required in order to explain these observations.</t>
  </si>
  <si>
    <t>NOAA, Natl Ocean Data Ctr, Lab Satell Altimetry, EOC2, Silver Spring, MD 20910 USA; CALTECH, Seismol Lab, Pasadena, CA 91125 USA</t>
  </si>
  <si>
    <t>National Oceanic Atmospheric Admin (NOAA) - USA; California Institute of Technology</t>
  </si>
  <si>
    <t>NOAA, Natl Ocean Data Ctr, Lab Satell Altimetry, EOC2, 1315 East West Highway,SSMC 3,Sta 3855, Silver Spring, MD 20910 USA.</t>
  </si>
  <si>
    <t>kmarks@nodc.noaa.gov; jstock@gps.caltech.edu; katyq@mit.edu</t>
  </si>
  <si>
    <t>Stock, Joann Miriam/AAN-1526-2021; Marks, Karen/F-5610-2010</t>
  </si>
  <si>
    <t>Stock, Joann Miriam/0000-0003-4816-7865; Marks, Karen/0000-0001-6524-1495</t>
  </si>
  <si>
    <t>B3</t>
  </si>
  <si>
    <t>10.1029/1998JB900075</t>
  </si>
  <si>
    <t>176HN</t>
  </si>
  <si>
    <t>WOS:000079145800014</t>
  </si>
  <si>
    <t>Johnson, AC</t>
  </si>
  <si>
    <t>Interpretation of new aeromagnetic anomaly data from the central Antarctic Peninsula</t>
  </si>
  <si>
    <t>TECTONIC SEGMENTATION; MAGMATIC ARC; GRAHAM LAND; GRAVITY; DEFORMATION; EVOLUTION; FIELD; PLATE</t>
  </si>
  <si>
    <t>New high-resolution aeromagnetic anomaly data from the central Antarctic Peninsula reveal a magnetic signature typical of a magmatic are system. Analysis of the new aeromagnetic map, together with susceptibility data and 2.5-dimensional modelling support the interpretation of the Pacific margin anomaly as reflecting a mid crustal batholithic province consisting of magnetite-rich plutons. Examination and analysis of the magnetic anomaly map shows variations in magnetic character along the Antarctic Peninsula. These variations, in conjunction with geological and other geophysical data sets, are interpreted as indicating distinct segments of continental crust. Of particular importance is the identification of three distinct areas of basement on the eastern side of the Antarctic Peninsula, of which the central area (66 degrees S to similar to 68 degrees) appears to be gneissic basement at a relatively high crustal level. To the north of 66 degrees S, the basement is formed of late Palaeozoic-?Triassic accretionary material, and to the south of similar to 68 degrees S the basement is unknown. Segmentation is a common feature of arcs worldwide, and previous studies of the Antarctic Peninsula have linked the continental segmentation to the arrival of a series of ridge crests at the subducting Pacific margin. This study indicates that the major segmentation of the continental crust is linked to the pre-Cretaceous crustal structure of the peninsula, which was subsequently modified by extension during the Cenozoic. It is suggested that this Cenozoic extension was caused by a reduction in plate convergence rates at two-distinct times, rather than the arrival of ridge segments at the trench, as previously proposed.</t>
  </si>
  <si>
    <t>Johnson, AC (corresponding author), Geosoft Europe Ltd, 20-21 Market Pl, Wallingford OX10 0AD, Oxon, England.</t>
  </si>
  <si>
    <t>ash.johnson@geosoft.com</t>
  </si>
  <si>
    <t>10.1029/1998JB900073</t>
  </si>
  <si>
    <t>WOS:000079145800019</t>
  </si>
  <si>
    <t>Livingston, FE; Smith, JA; George, SM</t>
  </si>
  <si>
    <t>Origin of non-zero-order H2O desorption kinetics from crystalline ice multilayers on Ru(001)</t>
  </si>
  <si>
    <t>crystalline ice multilayers; H2O desorption kinetics; laser induced thermal desorption; Ru(001)</t>
  </si>
  <si>
    <t>INDUCED THERMAL-DESORPTION; ENERGY-ELECTRON-DIFFRACTION; MOLECULAR-SURFACE STRUCTURE; ANTARCTIC OZONE; WATER-ICE; ASTROPHYSICAL IMPLICATIONS; HETEROGENEOUS REACTIONS; HYDROGEN-CHLORIDE; THIN-FILMS; ADSORPTION</t>
  </si>
  <si>
    <t>Recent studies have reported non-zero-order kinetics for H2O desorption from crystalline ice multilayers on Ru(001). To understand the origin of the observed non-zero-order kinetics, D2O desorption from ultrathin (15-135 BL; 55-490 Angstrom) crystalline D2O ice multilayers on Ru(001) was measured using a novel combination of laser-induced thermal desorption (LITD) spatial probing and isothermal desorption flux analysis. The ice multilayers were grown on a single-crystal Ru(001) metal substrate using either backfill D2O vapor deposition or multichannel capillary array dosing methods. The ice multilayers grown via backfill vapor deposition were smooth and highly uniform. The LITD and isothermal desorption flux studies demonstrated that D2O desorption from these uniform ice multilayers exactly followed zero-order kinetics. Slight deviations from zero-order desorption kinetics were observed only at low D2O coverages of less than or equal to 5 BL D2O and were attributed to enhanced D2O-Ru(001) substrate interactions or slight ice surface roughening. In contrast, the ice films prepared using capillary array dosing were spatially non-uniform and exhibited a decreasing multilayer coverage versus distance from the center of the substrate. This initial non-uniform D2O coverage distribution had a dramatic impact on the isothermal desorption flux measurements and produced non-zero-order desorption kinetics. The deviations from zero-order kinetics were directly related to changes in the ice film surface area as the non-uniform initial multilayer coverage was completely desorbed at various positions on the Ru(001) substrate at different times. The desorption kinetics of D2O from smooth and uniform D2O ice multilayers on Ru(001) are strictly zero-order. The previous reports of non-zero-order kinetics are assigned to a non-uniform initial D2O multilayer coverage distribution. (C) 1999 Elsevier Science B.V. All rights reserved.</t>
  </si>
  <si>
    <t>George, SM (corresponding author), Univ Colorado, Dept Chem &amp; Biochem, Campus Box 215, Boulder, CO 80309 USA.</t>
  </si>
  <si>
    <t>georges@spot.colorado.edu</t>
  </si>
  <si>
    <t>10.1016/S0039-6028(98)00842-5</t>
  </si>
  <si>
    <t>181FV</t>
  </si>
  <si>
    <t>WOS:000079431400009</t>
  </si>
  <si>
    <t>Chu, DH; Gordon, RG</t>
  </si>
  <si>
    <t>Evidence for motion between Nubia and Somalia along the southwest Indian ridge</t>
  </si>
  <si>
    <t>CURRENT PLATE MOTIONS; STATISTICAL TESTS; EAST-AFRICA; OCEAN; DEFORMATION; CONSTRAINTS; BOUNDARY; EARTHQUAKES; LITHOSPHERE; KINEMATICS</t>
  </si>
  <si>
    <t>The East African rift marks the northern boundary of the Nubian (West African) and Somalian (East African) plates, and has formed by horizontal stretching due to the separation of these plates(1). South of similar to 20 degrees S, any expression of deformation or seismicity due to the relative motion of these two distinct plates vanishes, although the boundary must continue until it intersects another plate boundary. The nearest such boundary is that of the Antarctic plate, marked by the Southwest Indian ridge. But previous analyses of plate-motion data have indicated no significant difference between Nubia-Antarctica and Somalia-Antarctica motion(2,3). Here we show, using: a large compilation of plate-motion data, that Nubia-Antarctica motion does differ from Somalia-Antarctica motion, and we determine a relative angular velocity of the two plates that has compact confidence limits. Our analysis places the pole of rotation near to the southern limit of African seismicity, implying that the southern part of the Nubian-Somalian plate boundary is a diffuse zone of convergence (up to similar to 2 mm yr(-1)), whereas up to similar to 6 mm yr(-1) of separation is accommodated across the East African rift-about half the separation rate of the slowest mid-ocean ridge.</t>
  </si>
  <si>
    <t>Rice Univ, Dept Geol &amp; Geophys, Houston, TX 77005 USA</t>
  </si>
  <si>
    <t>Rice University</t>
  </si>
  <si>
    <t>Gordon, RG (corresponding author), Rice Univ, Dept Geol &amp; Geophys, Houston, TX 77005 USA.</t>
  </si>
  <si>
    <t>MAR 4</t>
  </si>
  <si>
    <t>10.1038/18014</t>
  </si>
  <si>
    <t>174KG</t>
  </si>
  <si>
    <t>WOS:000079033900051</t>
  </si>
  <si>
    <t>Boyd, IL; Bevan, RM; Woakes, AJ; Butler, PJ</t>
  </si>
  <si>
    <t>Heart rate and behavior of fur seals: implications for measurement of field energetics</t>
  </si>
  <si>
    <t>AMERICAN JOURNAL OF PHYSIOLOGY-HEART AND CIRCULATORY PHYSIOLOGY</t>
  </si>
  <si>
    <t>diving; Antarctica; metabolic rate; respirometry; morphometrics</t>
  </si>
  <si>
    <t>DAILY ENERGY-EXPENDITURE; DOUBLY LABELED WATER; BLACK-BROWED ALBATROSSES; OXYGEN-CONSUMPTION; ARCTOCEPHALUS-GAZELLA; BODY-TEMPERATURE; FORAGING BEHAVIOR; AYTHYA-FULIGULA; METABOLIC-RATE; SOUTH GEORGIA</t>
  </si>
  <si>
    <t>Archival data loggers were used to collect information about depth, swimming speed, and heart rate in 23 free-ranging antarctic fur seals. Deployments averaged 9.6 +/- 5.6 days (SD) and totaled 191 days of recording. Heart rate averaged 108.7 +/- 17.7 beats/min (SD) but varied from 83 to 145 beats/min among animals. Morphometrics explained most variations in heart rate among animals. These interacted with diving activity and swimming speed to produce a complex relationship between heart rate and activity patterns. Heart; rate was also correlated with behavior over time lags of several hours. There was significant (P &lt; 0.05) variation among animals in the degree of diving bradycardia. On average, heart rate declined from 100-130 beats/min before the dive to 70-100 beats/min during submersion. On the basis of the relationship between heart rate and rate of oxygen consumption, the overall metabolic rate was 5.46 +/- 1.61 W/kg (SD). Energy expenditure appears to be allocated to different activities within the metabolic scope of individual animals. This highlights the possibility that some activities can be mutually exclusive of one another.</t>
  </si>
  <si>
    <t>British Antarctic Survey, Cambridge CB3 0ET, England; Univ Birmingham, Sch Biol Sci, Birmingham B15 2TT, W Midlands, England</t>
  </si>
  <si>
    <t>UK Research &amp; Innovation (UKRI); Natural Environment Research Council (NERC); NERC British Antarctic Survey; University of Birmingham</t>
  </si>
  <si>
    <t>Boyd, IL (corresponding author), British Antarctic Survey, Madingley Rd, Cambridge CB3 0ET, England.</t>
  </si>
  <si>
    <t>Woakes, Anthony/JYD-0387-2024</t>
  </si>
  <si>
    <t>0363-6135</t>
  </si>
  <si>
    <t>AM J PHYSIOL-HEART C</t>
  </si>
  <si>
    <t>Am. J. Physiol.-Heart Circul. Physiol.</t>
  </si>
  <si>
    <t>MAR</t>
  </si>
  <si>
    <t>H844</t>
  </si>
  <si>
    <t>H857</t>
  </si>
  <si>
    <t>10.1152/ajpheart.1999.276.3.H844</t>
  </si>
  <si>
    <t>Cardiac &amp; Cardiovascular Systems; Physiology; Peripheral Vascular Disease</t>
  </si>
  <si>
    <t>Cardiovascular System &amp; Cardiology; Physiology</t>
  </si>
  <si>
    <t>172CN</t>
  </si>
  <si>
    <t>WOS:000078904900009</t>
  </si>
  <si>
    <t>Bulbus arteriosus of the Antarctic teleosts.: I.: The white-blooded Chionodraco hamatus</t>
  </si>
  <si>
    <t>Antarctic; teleost; icefish; heart; bulbus arteriosus; Chionodraco hamatus</t>
  </si>
  <si>
    <t>WEIBEL-PALADE BODIES; COD GADUS-MORHUA; ENDOTHELIAL-CELLS; CHAENOCEPHALUS-ACERATUS; HEMOGLOBIN-FREE; HEART; ULTRASTRUCTURE; ENDOCARDIUM; VENTRICLE; AORTAS</t>
  </si>
  <si>
    <t>The bulbus arteriosus of teleost fish is a thick-walled chamber that extends between the single ventricle and the ventral aorta. The functional importance of the bulbus resides in the fact that it maintains a steady blood flow into the gill system through heart contraction. Despite of this, a thorough study of the structure of the bulbus in teleost fish is still lacking. We have undertaken a morphologic study of the bulbus arteriosus in the stenothermal teleosts of the Antarctic sea. The structural organization of the bulbus arteriosus of the icefish Chionodraco hamatus has been studied here by conventional light, scanning, and transmission electron microscopy. The inner surface of the bulbus, shows a festooned appearance due to the presence of longidudinal, unbranched ridges that extend between the ventricle and the arterial trunk, The wall of the bulbus is divided into endocardial, subendocardial, middle, and external layers. Endocardial cells show a large number of moderately-dense bodies. The endocardium invaginates into the subendocardium forming solid epithelial cords that contain numerous secretory vacuoles. Cells in the subendocardium group into small domains, have some of the morphological characteristics of smooth muscle cells, and appear enmeshed in a three-dimensional network of matrix filaments;. Cells in the middle layer are typical smooth muscle cells. They appear arranged into layers and are surrounded by a filamentous meshwork that excludes collagen fibers. Orientation of this meshwork occurs in the vicinity of the smooth muscle cells. Elastin fibers are never observed. The external layer is formed by wavy collagen bundles and fibroblast-like cells. This layer lacks blood vessels and nerve fibers. The endocardium and the endocardium-derived cords are secretory epithelia that may be involved in the formation of mucins or glycosaminoglycans. These mucins may have a protecting effect on the endocardium. The subendocardium and the middle layer appear to be formed by the same cell type, smooth muscle, with a gradient of differentiation from the secretory (subendocardium) to the contractile (middle layer) phenotype. Despite the absence of elastin fibers, the filamentous matrix could maintain the elastic properties of the bulbus wall. Smooth muscle cells appear to be actively involved in bulbus wall dynamics. The restriction of collagen to the external layer suggests that it mag control wall dilatation and bulbus compliance. When comparison was possible, structural differences between C. hamatus and temperate teleosts seemed to be not species-related, but of phenotypic adaptative significance. This is remarkable since Antarctic fishes have lived isolated in freezing waters for the last two million years. Anat Rec 254:396-407, 1999. (C) 1999 Wiley-Liss, Inc.</t>
  </si>
  <si>
    <t>MAR 1</t>
  </si>
  <si>
    <t>10.1002/(SICI)1097-0185(19990301)254:3&lt;396::AID-AR11&gt;3.0.CO;2-J</t>
  </si>
  <si>
    <t>173CD</t>
  </si>
  <si>
    <t>WOS:000078962900011</t>
  </si>
  <si>
    <t>Thomson, MRA</t>
  </si>
  <si>
    <t>Whither Antarctic science?</t>
  </si>
  <si>
    <t>Thomson, MRA (corresponding author), British Antarctic Survey, Cambridge CB3 0ET, England.</t>
  </si>
  <si>
    <t>268KZ</t>
  </si>
  <si>
    <t>WOS:000084414000001</t>
  </si>
  <si>
    <t>Bargagli, R; Smith, RIL; Martella, L; Monaci, F; Sanchez-Hernandez, JC; Ugolini, FC</t>
  </si>
  <si>
    <t>Solution geochemistry and behaviour of major and trace elements during summer in a moss community at Edmonson Point, Victoria Land, Antarctica</t>
  </si>
  <si>
    <t>Edmonson Point; major and trace elements; moss community; solution geochemistry; Victoria Land</t>
  </si>
  <si>
    <t>VESTFOLD-HILLS; SALTS; ECOLOGY; ORIGIN; POLLEN; SOILS; WATER; BAY</t>
  </si>
  <si>
    <t>Physical and chemical characteristics and solution geochemistry of major and trace elements were investigated in an area of volcanic soil colonized by mosses at Edmonson Point (central Victoria Land) during the international BIOTAS (Biological Investigations of Terrestrial Antarctic Systems) expedition (BIOTEX) in the 1995-96 summer. The broad objective was to study the environmental factors involved in plant colonisation and survival in terrestrial continental Antarctic ecosystems. The results showed that moss distribution and survival throughout the summer was closely dependent on water supply. In Antarctic coastal ecosystems the environmental biogeochemistry is largely dominated by ions of marine origin. At the drier end of a hydrological gradient the dry cushions of Hennediella heimii were encrusted with salts and showed much higher concentrations of soluble ions (Na+, Cl-, K+, Ca2+, Mg2+, SO42-, NO3-) than those in adhering soil particles or in other moss species from wetter parts of the transect. Although salt encrustations may partly derive from sublimation of surface snow, comparisons between concentrations of soluble ions in the dry moss and those in the &lt; 2 mm fraction of surface and deep soil showed an upward migration along the soil profile of soluble ions as the substratum dried out, between December and January, and their accumulation mostly on mosses. At the wet end of the transect mosses were less affected by salt encrustations and there was evidence of Ca2+ uptake and an active cycling of nutrients.</t>
  </si>
  <si>
    <t>Univ Siena, Dipartimento Biol Ambientale, I-53100 Siena, Italy; British Antarctic Survey, NERC, Cambridge CB3 0ET, England; Univ Florence, Dipartimento Sci Suolo &amp; Nutr Pianta, I-50144 Florence, Italy</t>
  </si>
  <si>
    <t>University of Siena; UK Research &amp; Innovation (UKRI); Natural Environment Research Council (NERC); NERC British Antarctic Survey; University of Florence</t>
  </si>
  <si>
    <t>Bargagli, R (corresponding author), Univ Siena, Dipartimento Biol Ambientale, Via Cerchia 3, I-53100 Siena, Italy.</t>
  </si>
  <si>
    <t>Monaci, Fabrizio/B-6611-2012; Sanchez-Hernandez, Juan C./E-8928-2011</t>
  </si>
  <si>
    <t>Monaci, Fabrizio/0000-0001-5489-1310; Sanchez-Hernandez, Juan C./0000-0002-8295-0979</t>
  </si>
  <si>
    <t>10.1017/S0954102099000024</t>
  </si>
  <si>
    <t>WOS:000084414000002</t>
  </si>
  <si>
    <t>Eastman, JT; Eakin, RR</t>
  </si>
  <si>
    <t>Fishes of the genus Artedidraco (Pisces, Artedidraconidae) from the Ross Sea, Antarctica, with the description of a new species and a colour morph</t>
  </si>
  <si>
    <t>Antarctic; Artedidraco glareobarbatus n. sp.; Artedidraco shackletoni; Artedidraconidae; Ross Sea; spotted morph</t>
  </si>
  <si>
    <t>WEDDELL SEA; FAUNA</t>
  </si>
  <si>
    <t>Notothenioid fish of the artedidraconid genus Artedidraco are a little studied component of the bottom fauna on the Antarctic continental shelf. Trawling in the south-western Ross Sea, especially in shallow areas with sponge beds, yielded a collection of 65 specimens of Artedidraco. These included all four species occurring in the Ross Sea as well as a new species. The new species Artedidraco glareobarbatus is described and illustrated. This species is most similar to A. orianae, but is distinguished by barbel morphology, by higher counts for dorsal rays and vertebrae, by lower counts for upper lateral-line scales and by colour pattern and visceral anatomy. A distinctive spotted colour morph of A. shackletoni is also documented and compared with the typical barred morph. Depth distribution and meristic variation among species of Artedidraco are summarized, and a taxonomic key to the six species is provided.</t>
  </si>
  <si>
    <t>Ohio Univ, Coll Osteopath Med, Dept Biomed Sci, Athens, OH 45701 USA; Univ New England, Dept Life Sci, Portland, ME 04103 USA</t>
  </si>
  <si>
    <t>University System of Ohio; Ohio University; University of New England - Maine</t>
  </si>
  <si>
    <t>Eastman, Joseph T./O-6150-2019; Eastman, Joseph T/A-9786-2008</t>
  </si>
  <si>
    <t>Eastman, Joseph T./0000-0003-3868-261X;</t>
  </si>
  <si>
    <t>10.1017/S0954102099000036</t>
  </si>
  <si>
    <t>WOS:000084414000003</t>
  </si>
  <si>
    <t>Jarman, S; Elliott, N; Nicol, S; McMinn, A; Newman, S</t>
  </si>
  <si>
    <t>The base composition of the krill genome and its potential susceptibility to damage by UV-B</t>
  </si>
  <si>
    <t>base composition; DNA; Euphausia superba Dana; krill; ozone depletion; UV-B</t>
  </si>
  <si>
    <t>SEA-ICE EXTENT; DECLINE; REPAIR; OZONE</t>
  </si>
  <si>
    <t>We have determined the base composition (percentage of guanine-cytosine base pairs, GC%) of total DNA from Euphausia superba to be 32% +/- 0.5%. This is the lowest GC% recorded for a metazoan. Low GC% DNA has high concentrations of thymine (T) residues and consequently a greater abundance of adjacent T residues [T(n) arrays]. Ultraviolet B (280-320 nm, W-B) radiation damages DNA primarily at (T)n arrays, so we suggest that krill DNA may be more susceptible to damage from increased levels of W-B radiation over the Southern Ocean than the DNA of other Antarctic organisms.</t>
  </si>
  <si>
    <t>Univ Tasmania, Inst Antarctic &amp; So Ocean Studies, Hobart, Tas 7001, Australia; CSIRO Marine Res, Hobart, Tas 7001, Australia; Australian Antarctic Div, Kingston, Tas 7050, Australia; Univ Tasmania, Dept Zool, Hobart, Tas 7001, Australia</t>
  </si>
  <si>
    <t>University of Tasmania; Commonwealth Scientific &amp; Industrial Research Organisation (CSIRO); Australian Antarctic Division; University of Tasmania</t>
  </si>
  <si>
    <t>Jarman, S (corresponding author), Univ Tasmania, Inst Antarctic &amp; So Ocean Studies, GPO Box 252-77, Hobart, Tas 7001, Australia.</t>
  </si>
  <si>
    <t>McMinn, Andrew/A-9910-2008; Jarman, Simon/H-9265-2016; Newman, Stuart/B-7705-2013</t>
  </si>
  <si>
    <t>Jarman, Simon/0000-0002-0792-9686; Newman, Stuart/0000-0002-4067-5497</t>
  </si>
  <si>
    <t>10.1017/S0954102099000048</t>
  </si>
  <si>
    <t>WOS:000084414000004</t>
  </si>
  <si>
    <t>Microhabitats occupied by terrestrial arthropods in the Stillwell Hills, Kemp Land, East Antarctica</t>
  </si>
  <si>
    <t>Acari; heat stress; limiting factors; moisture availability; operating environments; spatial pattern</t>
  </si>
  <si>
    <t>DRONNING-MAUD-LAND; WILKES-LAND; ISLAND; TEMPERATURE; TARDIGRADES; MITES; ENVIRONMENT; VEGETATION; PENINSULA; TOLERANCE</t>
  </si>
  <si>
    <t>A fine-scale survey of the distribution of free-living terrestrial arthropods in the Stillwell Hills region of Kemp Land, East Antarctica, was carried out between 22 December 1996 and 27 January 1997. Three species, all Acari, were recorded: Protereunetes maudae Strandtmann, Nanorchestes triclivatus Booth and N. lalae Strandtmann. Population densities varied from 0 to 6802 ind. m(-2) with a mean of 954 ind. m(-2). The favoured microhabitat was found to be beneath stones in damp locations on north- and west-facing slopes. Sites with microalgal growth supported more microarthropods than sites with mosses, lichens and macroalgae. Arid and saline habitats, including such sites as wind-swept ridges and the seashore, were found to lack microarthropods. Thermal and humidity profiles above and below the ground surface were recorded to investigate the microenvironments of Acari. Special attention was focused upon the moderating role of snow thickness, vegetation cover, aspect and vertical depth in the soil profile. These microclimate data suggest that Acari are able to avoid the extremes of low temperature experienced at macroclimate level but that heat stress and desiccation may play important limiting roles.</t>
  </si>
  <si>
    <t>Australian Antarctic Div, Human Impacts Res Programme, Kingston, Tas 7050, Australia</t>
  </si>
  <si>
    <t>Kennedy, AD (corresponding author), Univ Bristol, Dept Earth Sci, Wills Mem Bldg,Queens Rd, Bristol BS8 1RJ, Avon, England.</t>
  </si>
  <si>
    <t>10.1017/S095410209900005X</t>
  </si>
  <si>
    <t>WOS:000084414000005</t>
  </si>
  <si>
    <t>Slip, DJ; Burton, HR</t>
  </si>
  <si>
    <t>Population status and seasonal haulout patterns of the southern elephant seal (Mirounga leonina) at Heard Island</t>
  </si>
  <si>
    <t>haulout patterns; Heard Island; Mirounga leonina; population size; southern elephant seal</t>
  </si>
  <si>
    <t>GEORGIA; CROZET; GROWTH</t>
  </si>
  <si>
    <t>We surveyed the southern elephant seal population at Heard Island regularly from February 1992 to March 1993, and determined the haulout patterns of the major components of the population. While haulout patterns of moulting and immature seals may give broad indices of population trends, the breeding haulout of adult females was the only reliable haulout that could be used to determine annual pup production. During the breeding season 14 277 adult females were counted. Raw counts were corrected using two models, one purely mathematical and the other based on the haulout behaviour of adult female seals. The two models have slightly different assumptions, but both provided good fits to the observed haulout patterns and estimated total population with a coefficient of variation of less than 5%. Total pup production was estimated at between 17 000 and 18 000 for 1992. Previous counts of elephant seals from 1949-51, 1985 and 1987 were corrected using the same models. The two models gave estimates of the population that were within +/- 2.5% for all but one year. The population declined by about 50% between 1949 and 1985 but there appears to have been little change from 1985-92. The previous decline may be related to changes in sea-ice.</t>
  </si>
  <si>
    <t>Slip, DJ (corresponding author), Australian Antarctic Div, Channel Highway, Kingston, Tas 7050, Australia.</t>
  </si>
  <si>
    <t>Slip, David/0000-0002-9010-7236</t>
  </si>
  <si>
    <t>10.1017/S0954102099000061</t>
  </si>
  <si>
    <t>WOS:000084414000006</t>
  </si>
  <si>
    <t>Thiele, D; Gill, PC</t>
  </si>
  <si>
    <t>Cetacean observations during a winter voyage into Antarctic sea ice south of Australia</t>
  </si>
  <si>
    <t>Antarctic; killer whales; minke whales; sea ice; winter</t>
  </si>
  <si>
    <t>MARINE MAMMALS; WEDDELL; ZONE</t>
  </si>
  <si>
    <t>Cetacean observations were made from a platform of opportunity (a winter sea ice and oceanography research voyage) in Antarctic sea ice south of Tasmania. Minke whales and killer whales were sighted well within the sea ice. Minkes were found between 180-350 km south of the ice edge, while killer whales were nearly 450 km south of the ice edge. Minkes were sparsely distributed throughout the seasonal sea ice, even in areas of apparent total ice cover. Killer whales (including calves) were found at the northern edge of a major coastal polynya system. The winter sea ice is a complex and dynamic environment in which lead and polynya systems may enable travel and foraging by some cetacean species. While biological productivity is known to be reduced from summer levels, large numbers of seals, penguins - and possibly small numbers of whales - may be supported by krill and other biota intimately associated with the sea ice habitat during winter.</t>
  </si>
  <si>
    <t>Deakin Univ, Marequus Pty Ltd, Sch Ecol &amp; Environm, Warrnambool, Vic 3280, Australia; Australocetus Rackham, Hartley Vale, NSW 2790, Australia</t>
  </si>
  <si>
    <t>Deakin University</t>
  </si>
  <si>
    <t>Thiele, D (corresponding author), Deakin Univ, Marequus Pty Ltd, Sch Ecol &amp; Environm, POB 423, Warrnambool, Vic 3280, Australia.</t>
  </si>
  <si>
    <t>Gill, Peter/JZT-5482-2024</t>
  </si>
  <si>
    <t>10.1017/S0954102099000073</t>
  </si>
  <si>
    <t>WOS:000084414000007</t>
  </si>
  <si>
    <t>Vacchi, M; La Mesa, M; Greco, S</t>
  </si>
  <si>
    <t>Summer distribution and abundance of larval and juvenile fishes in the western Ross Sea</t>
  </si>
  <si>
    <t>abundance; Antarctica; distribution; fish larvae and juveniles; western Ross Sea</t>
  </si>
  <si>
    <t>VERTICAL-DISTRIBUTION; SOUTHERN-OCEAN; ANTARCTIC FISH; WEDDELL SEA; ICHTHYOPLANKTON; ASSEMBLAGES; WATERS; REGION</t>
  </si>
  <si>
    <t>Ichthyoplankton samples were collected during the November-December 1994 Italian Antarctic Oceanographic Cruise carried out to the western Boss Sea. A midwater trawl (Hamburg Plankton Net) was used to collect samples at 26 stations. Larval and juvenile specimens of 21 species belonging to six families (Artedidraconidae, Bathydraconidae, Channichthyidae, Macrouridae, Nototheniidae and Paralepididae) were caught from surface to 380 m depth. Mean relative abundance of larval fish in the whole area was about 2.7 specimens 1000 m(-3) of filtered water. Pleuragramma antarcticum were the most abundant as postlarvae and juveniles. Larval and postlarval specimens of Chionodraco myersi were also abundant and widespread. The high number of Trematomus lepidorhinus (570 larvae) found in a single station off Terra Nova Bay (74 degrees 48'75 S, 164 degrees 36'90E) was noteworthy. Our data demonstrate that the species diversity of the larval fish community in the western Ross Sea is much as found elsewhere in the Antarctic and show a greater abundance of fish larvae in inshore than in offshore waters.</t>
  </si>
  <si>
    <t>CNR, Ist Ric Pesca Marittima, I-60125 Ancona, Italy; ICRAM, Ist Cent Ric Sci &amp; Tecnol Applicata Mare, I-00197 Rome, Italy; CNR, Ist Sperimentale Talassog, I-98100 Messina, Italy</t>
  </si>
  <si>
    <t>Consiglio Nazionale delle Ricerche (CNR); Consiglio Nazionale delle Ricerche (CNR)</t>
  </si>
  <si>
    <t>La Mesa, M (corresponding author), CNR, Ist Ric Pesca Marittima, Largo Fierra Pesca, I-60125 Ancona, Italy.</t>
  </si>
  <si>
    <t>10.1017/S0954102099000085</t>
  </si>
  <si>
    <t>WOS:000084414000008</t>
  </si>
  <si>
    <t>Xavier, JC; Rodhouse, PG; Trathan, PN; Wood, AG</t>
  </si>
  <si>
    <t>A Geographical Information System (GIS) atlas of cephalopod distribution in the southern ocean</t>
  </si>
  <si>
    <t>British Antarctic Survey, NERC, Cambridge CB3 0ET, England; Univ Algarve, P-8000 Faro, Portugal</t>
  </si>
  <si>
    <t>UK Research &amp; Innovation (UKRI); Natural Environment Research Council (NERC); NERC British Antarctic Survey; Universidade do Algarve</t>
  </si>
  <si>
    <t>Xavier, JC (corresponding author), British Antarctic Survey, NERC, High Cross,Madingley Rd, Cambridge CB3 0ET, England.</t>
  </si>
  <si>
    <t>Xavier, José/KFB-6739-2024</t>
  </si>
  <si>
    <t>/0000-0002-9621-6660; Rodhouse, Paul/0000-0001-5399-967X</t>
  </si>
  <si>
    <t>10.1017/S0954102099000097</t>
  </si>
  <si>
    <t>WOS:000084414000009</t>
  </si>
  <si>
    <t>Curtis, ML; Lomas, SA</t>
  </si>
  <si>
    <t>Late Cambrian stratigraphy of the Heritage Range, Ellsworth Mountains: implications for basin evolution</t>
  </si>
  <si>
    <t>continental rifting; Ellsworth Mountains; Late Cambrian; sequence stratigraphy</t>
  </si>
  <si>
    <t>WEST ANTARCTICA; ROSS OROGENY; DEFORMATION; TECTONICS; GONDWANA; AGE</t>
  </si>
  <si>
    <t>Deposition of the Upper Cambrian succession of the Ellsworth Mountains was influenced by major, episodic tectonically-driven changes to the depositional basin geometry. We subdivide the succession into four stratigraphical sequences based on the recognition of three sequence-bounding unconformities. The upper part of Sequence 1 is composed of the laterally equivalent Liberty Hills, Springer Peak and Frazier Ridge formations, a siliciclastic fluvial to marine deltaic association displaying NW-directed palaeocurrents. A switch in the position of the Late Cambrian depocentre from the north-west to the south coincided with cessation of terrigenous elastic deposition and accumulation of Sequence 2, the limestones of the Minaret Formation. Previously unreported talus breccias from the Independence Hills provide important clues to basin configuration at this time. A brief period of emergence of the Minaret Formation is inferred, prior to rapid subsidence and disconformable deposition of Sequence 3 (the 'transition beds') in outer-inner shelf environments. Localized intra-basinal uplift occurred prior to the deposition of Sequence 4 (the lower Crashsite Group), the base of which is locally an erosive unconformity, with a correlative conformity exposed elsewhere. We interpret the Upper Cambrian succession as representing the 'rift-drift' transition from initial rifting (preceded by Middle Cambrian volcanism) to thermal subsidence along the South African sector of the palaeo-Pacific margin of Gondwana.</t>
  </si>
  <si>
    <t>Curtis, Mike/HKV-6176-2023</t>
  </si>
  <si>
    <t>10.1017/S0954102099000103</t>
  </si>
  <si>
    <t>WOS:000084414000010</t>
  </si>
  <si>
    <t>O'Brien, PE; De Santis, L; Harris, PT; Domack, E; Quilty, PG</t>
  </si>
  <si>
    <t>Ice shelf grounding zone features of western Prydz Bay, Antarctica: sedimentary processes from seismic and sidescan images</t>
  </si>
  <si>
    <t>Amery Ice Shelf; grounding zone; Prydz Bay; sedimentology; seismic; sidescan</t>
  </si>
  <si>
    <t>EAST-ANTARCTICA; GLACIER; LINE; FACIES</t>
  </si>
  <si>
    <t>Several grounding zone wedges were left on the floor and flanks of Prydz Channel in western Prydz Bay by the Lambert Glacier during the last glacial cycle. Seismic profiles indicate that vertical accretion at the glacier bed was the most important depositional process in forming the wedges, rather than progradation by sediment gravity flows. Sidescan sonographs reveal extensive development of flutes on the sea floor inshore from the wedges, indicating deformable bed conditions beneath the ice. The region inshore of the east Prydz Channel wedge features extensive dune fields formed by currents flowing towards the grounding zone. This orientation is consistent with models of circulation beneath ice shelves in which melting at the grounding line generates plumes of fresher water that rise along the base of the ice shelf, entraining sea water into a circulation cell. The Lambert Deep is surrounded by a large composite ridge of glacial sediments. Internal reflectors suggest formation mostly by subglacial accretion. The sea floor in the Lambert Deep lacks dune fields and shows evidence of interspersed subglacial cavities and grounded ice beneath the glacier. The absence of bedforms reflects sea floor topography that would have inhibited the formation of energetic melt water-driven circulation.</t>
  </si>
  <si>
    <t>Antarctic CRC, Canberra, ACT 2601, Australia; Australian Geol Survey Org, Canberra, ACT 2601, Australia; Osservatorio Geofis Sperimentale, I-34016 Trieste, Italy; Univ Tasmania, Australian Geol Survey Org, Hobart, Tas 7001, Australia; Antarctic CRC, Hobart, Tas 7001, Australia; Hamilton Coll, Hamilton, NY 13323 USA; Australian Antarctic Div, Kingston, Tas 7050, Australia</t>
  </si>
  <si>
    <t>Geoscience Australia; Istituto Nazionale di Oceanografia e di Geofisica Sperimentale; Geoscience Australia; University of Tasmania; Hamilton College; Australian Antarctic Division</t>
  </si>
  <si>
    <t>O'Brien, PE (corresponding author), Antarctic CRC, GPO Box 378, Canberra, ACT 2601, Australia.</t>
  </si>
  <si>
    <t>O'Brien, Philip/0000-0003-3446-3292</t>
  </si>
  <si>
    <t>10.1017/S0954102099000115</t>
  </si>
  <si>
    <t>WOS:000084414000011</t>
  </si>
  <si>
    <t>Argentini, S; Mastrantonio, G; Viola, A</t>
  </si>
  <si>
    <t>Estimation of turbulent heat fluxes and exchange coefficients for heat at Dumont d'Urville, East Antarctica</t>
  </si>
  <si>
    <t>Antarctica; exchange coefficients; heat fluxes; sodar; tethersonde</t>
  </si>
  <si>
    <t>CONVECTIVE BOUNDARY-LAYER; DOPPLER SODAR; KATABATIC FLOWS; ADELIE LAND; PARAMETERS; PROFILES; DEPTH</t>
  </si>
  <si>
    <t>Simultaneous acoustic Doppler sodar and tethersonde measurements were used to study some of the characteristics of the unstable boundary layer at Dumont d'Urville, Adelie Land, East Antarctica during the summer 1993-94. A description of the convective boundary layer and its behaviour in connection with the wind regime is given along with the frequency distribution of free convection episodes. The surface heat flux has been evaluated using the vertical velocity variance derived from sodar measurements. The turbulent exchange coefficients, estimated by coupling sodar and tethered balloon measurements, are in strong agreement with those present in literature for the Antarctic regions.</t>
  </si>
  <si>
    <t>CNR, Ist Fis Atmosfera, I-00133 Rome, Italy</t>
  </si>
  <si>
    <t>Argentini, S (corresponding author), CNR, Ist Fis Atmosfera, Via Fosso del Cavaliere 100, I-00133 Rome, Italy.</t>
  </si>
  <si>
    <t>stefania@sung3.ifsi.fra.cnr.it</t>
  </si>
  <si>
    <t>viola, angelo p/C-7184-2015</t>
  </si>
  <si>
    <t>viola, angelo pietro/0000-0002-6545-7496; ARGENTINI, STEFANIA/0000-0002-7939-0309</t>
  </si>
  <si>
    <t>10.1017/S0954102099000127</t>
  </si>
  <si>
    <t>WOS:000084414000012</t>
  </si>
  <si>
    <t>King, JC; Anderson, PS</t>
  </si>
  <si>
    <t>A humidity climatology for Halley, Antarctica, based on frost-point hygrometer measurements</t>
  </si>
  <si>
    <t>climatology; humidity; supersaturation</t>
  </si>
  <si>
    <t>WINTER</t>
  </si>
  <si>
    <t>Measurements of humidity at a height of 4 m were made at Halley Research Station between 1995 and 1997 using a frost point hygrometer. Relative humidities were usually close to ice saturation, particularly during the winter, but ice supersaturations of up to 20% were frequently measured. Supersaturation with respect to liquid water was rarely observed. During the summer, diurnal variation in temperature drove a daily cycle in relative humidity, although corresponding variations in mixing ratio were comparatively small. It is suggested that the high frequency of ice supersaturations and almost total absence of water supersaturation results from the high abundance of condensation nuclei relative to ice nuclei.</t>
  </si>
  <si>
    <t>British Antarctic Survey, NERC, High Cross, Cambridge CB3 0ET, England.</t>
  </si>
  <si>
    <t>j.c.king@bas.ac.uk</t>
  </si>
  <si>
    <t>10.1017/S0954102099000139</t>
  </si>
  <si>
    <t>WOS:000084414000013</t>
  </si>
  <si>
    <t>Kreutz, KJ; Mayewski, PA</t>
  </si>
  <si>
    <t>Spatial variability of Antarctic surface snow glaciochemistry: implications for palaeoatmospheric circulation reconstructions</t>
  </si>
  <si>
    <t>glaciochemistry; ice cores; palaeoclimate; Siple Dome; surface snow; West Antarctica</t>
  </si>
  <si>
    <t>NINO SOUTHERN OSCILLATION; GREENLAND ICE CORE; METHANESULFONIC-ACID; EL-NINO; ATMOSPHERIC CIRCULATION; CLIMATE-CHANGE; BYRD-STATION; RECORD; CHEMISTRY; PRECIPITATION</t>
  </si>
  <si>
    <t>Ice core glaciochemical records provide detailed information on past changes in atmospheric chemical composition and circulation, which is essential for understanding the timing and phasing of climatic change in different regions. Atmospheric circulation reconstructions based on these records require knowledge of modern chemical concentration controls (chemical source, transport pathway and strength) and spatial variability. To gain insight into these processes, glaciochemical data collected during reconnaissance drilling in West Antarctica combined with all other existing Antarctic surface snow glaciochemical records are examined for trends in chemical concentration vs distance inland, elevation, and accumulation rate. Snowpit data from inland West Antarctica displays significant spatial variability, suggesting complex patterns of atmospheric circulation and moisture transport in the region. Siple Dome sea-salt and methanesulphonic acid (MSA) concentrations are similar to coastal sites, suggesting enhanced advection of marine air masses to the site. Statistical analysis of a 110-year high-resolution Siple Dome ice core record confirms that strong lower tropospheric circulation dominates the region, which is most likely related to the strength of the Amundsen Sea low pressure system. An atmospheric circulation reconstruction based on the ice core glaciochemical data displays significant interannual and decadal-scale variability, but there is no overall trend in atmospheric circulation strength at Siple Dome in the past 110 years.</t>
  </si>
  <si>
    <t>Univ New Hampshire, Dept Earth Sci, Durham, NH 03824 USA; Univ New Hampshire, Inst Study Earth Oceans &amp; Space, Climate Change Res Ctr, Durham, NH 03824 USA</t>
  </si>
  <si>
    <t>Woods Hole Oceanog Inst, MS 25, Woods Hole, MA 02543 USA.</t>
  </si>
  <si>
    <t>kkreutz@whoi.edu</t>
  </si>
  <si>
    <t>10.1017/S0954102099000140</t>
  </si>
  <si>
    <t>WOS:000084414000014</t>
  </si>
  <si>
    <t>Papitashvili, VO</t>
  </si>
  <si>
    <t>Comment on Automated observatories for geospace research in polar regions by J.R. Dudeney, R.I. Kressman and A.S. Rodger</t>
  </si>
  <si>
    <t>CURRENTS</t>
  </si>
  <si>
    <t>Univ Michigan, Space Phys Res Lab, Ann Arbor, MI 48109 USA</t>
  </si>
  <si>
    <t>University of Michigan System; University of Michigan</t>
  </si>
  <si>
    <t>Papitashvili, VO (corresponding author), Univ Michigan, Space Phys Res Lab, Ann Arbor, MI 48109 USA.</t>
  </si>
  <si>
    <t>Papitashvili, Vladimir/0000-0001-6955-4894</t>
  </si>
  <si>
    <t>10.1017/S0954102099000152</t>
  </si>
  <si>
    <t>WOS:000084414000015</t>
  </si>
  <si>
    <t>Nicol, S; Endo, Y</t>
  </si>
  <si>
    <t>Krill fisheries: Development, management and ecosystem implications</t>
  </si>
  <si>
    <t>AQUATIC LIVING RESOURCES</t>
  </si>
  <si>
    <t>krill; euphausiid; fisheries; ecosystem management</t>
  </si>
  <si>
    <t>ACOUSTIC SCATTERING LAYERS; DAYTIME SURFACE SWARMS; EUPHAUSIA-SUPERBA; ANTARCTIC KRILL; MEGANYCTIPHANES-NORVEGICA; THYSANOESSA-INERMIS; COASTAL WATERS; FEED SOURCE; IN-VITRO; ISLAND</t>
  </si>
  <si>
    <t>There are currently at least six commercial fisheries harvesting six different species of euphausiid, or krill: Antarctic krill (Euphausia superba), fished in the Antarctic; North Pacific krill (Euphausia pacifica), fished off Japan and off western Canada; Euphausia nana, fished off the coast of Japan; Thysanoessa inermis, fished off the coast of Japan and off eastern Canada; and Thysanoessa raschii and Meganyctiphanes norvegica which have been experimentally harvested off eastern Canada. The current world catch of all species of krill is over 150 000 tonnes per annum but few fisheries are being exploited to their maximum theoretical potential. The size of the world krill harvest is currently limited by lack of demand, although some fisheries are being deliberately managed at low levels because of ecological concerns. We have outlined the history of these krill fisheries to determine where there are common trends and issues which will affect their future development. Krill products are currently mostly used for the aquaculture and sport fishing market but considerable effort has also been put into developing products for human consumption, particularly from Antarctic krill. The future development of krill fisheries is examined in the light of information on trends in krill products which include pharmaceutical and industrial uses in addition to nutritional products. Because of the central ecological role of krill in many marine ecosystems, the subject of krill harvesting is a sensitive issue and krill fisheries require careful management. This requirement has spawned an innovative international management regime in the Antarctic - the Convention for the Conservation of Antarctic Marine Living Resources (CCAMLR) - which has developed procedures for managing the harvest of Antarctic krill that may be applicable to other fisheries. The common problems of managing krill fisheries are outlined particularly those relating to the role of krill in many coastal ecosystems, and as prey for many other species which are commercially fished. (C) Ifremer/Cnrs/Inra/Ird/Cemagref/Elsevier, Paris.</t>
  </si>
  <si>
    <t>Australian Antarctic Div, Kingston, Tas 7053, Australia</t>
  </si>
  <si>
    <t>Australian Antarctic Div, Channel Highway, Kingston, Tas 7053, Australia.</t>
  </si>
  <si>
    <t>stephe_nic@antdiv.gov.au</t>
  </si>
  <si>
    <t>EDP SCIENCES S A</t>
  </si>
  <si>
    <t>LES ULIS CEDEX A</t>
  </si>
  <si>
    <t>17, AVE DU HOGGAR, PA COURTABOEUF, BP 112, F-91944 LES ULIS CEDEX A, FRANCE</t>
  </si>
  <si>
    <t>0990-7440</t>
  </si>
  <si>
    <t>1765-2952</t>
  </si>
  <si>
    <t>AQUAT LIVING RESOUR</t>
  </si>
  <si>
    <t>Aquat. Living Resour.</t>
  </si>
  <si>
    <t>MAR-APR</t>
  </si>
  <si>
    <t>10.1016/S0990-7440(99)80020-5</t>
  </si>
  <si>
    <t>204QF</t>
  </si>
  <si>
    <t>WOS:000080775100003</t>
  </si>
  <si>
    <t>Landi, A</t>
  </si>
  <si>
    <t>ARTNEWS</t>
  </si>
  <si>
    <t>ARTNEWS ASSOCIATES</t>
  </si>
  <si>
    <t>48 WEST 38TH STREET, NEW YORK, NY 10018 USA</t>
  </si>
  <si>
    <t>0004-3273</t>
  </si>
  <si>
    <t>ART NEWS</t>
  </si>
  <si>
    <t>Artnews</t>
  </si>
  <si>
    <t>171UF</t>
  </si>
  <si>
    <t>WOS:000078881900007</t>
  </si>
  <si>
    <t>Lynch, MJ; Tahmindjis, MA; Gardner, H</t>
  </si>
  <si>
    <t>Immobilisation of pinniped species</t>
  </si>
  <si>
    <t>AUSTRALIAN VETERINARY JOURNAL</t>
  </si>
  <si>
    <t>SOUTHERN ELEPHANT SEALS; KETAMINE-XYLAZINE MIXTURE; CHEMICAL RESTRAINT; MIROUNGA-LEONINA; WEDDELL SEALS; DRUG-COMBINATIONS; FUR SEALS; IMMOBILIZATION; ANESTHESIA; DIAZEPAM</t>
  </si>
  <si>
    <t>Australian Antarctic Div, Kingston, Tas 7050, Australia; Australian Quarantine &amp; Inspect Serv, Canberra, ACT 2601, Australia</t>
  </si>
  <si>
    <t>Lynch, MJ (corresponding author), Melbourne Zoo, POB 74, Parkville, Vic 3052, Australia.</t>
  </si>
  <si>
    <t>AUSTRALIAN VETERINARY ASSN</t>
  </si>
  <si>
    <t>MELBOURNE</t>
  </si>
  <si>
    <t>272 BRUNSWICK RD BRUNSWICK, MELBOURNE, VIC 3056, AUSTRALIA</t>
  </si>
  <si>
    <t>0005-0423</t>
  </si>
  <si>
    <t>AUST VET J</t>
  </si>
  <si>
    <t>Aust. Vet. J.</t>
  </si>
  <si>
    <t>10.1111/j.1751-0813.1999.tb11231.x</t>
  </si>
  <si>
    <t>177VC</t>
  </si>
  <si>
    <t>WOS:000079230900032</t>
  </si>
  <si>
    <t>Sauer, J; Hockey, GRJ; Wastell, DG</t>
  </si>
  <si>
    <t>Performance evaluation in analogue space environments: Adaptation during an 8-month Antarctic wintering over expedition</t>
  </si>
  <si>
    <t>AVIATION SPACE AND ENVIRONMENTAL MEDICINE</t>
  </si>
  <si>
    <t>polar expedition; performance; multiple-task environment; simulation; secondary task</t>
  </si>
  <si>
    <t>Background: This paper reports a study which examined the impact of long-term isolation and confinement on multiple-task performance. Methods: A group of 10 scientists and 6 technicians from a French wintering-over expedition in the Antarctic participated in the 8-mo study. The group was tested 8 times on a computerized simulation of a complex life support system. The task environment allowed the measurement of primary and secondary task performance, system control activities and subjective operator state. Results: No signs of serious performance decrements were observed but a number of subtle indications of hidden decrements emerged. The data also revealed strong differences in performance between the professional groups. Finally, the paper discusses the implications of the work for extended spaceflight.</t>
  </si>
  <si>
    <t>Ruhr Univ Bochum, Fak Psychol, Dept Psychol, D-44780 Bochum, Germany; Univ Hull, Dept Psychol, Hull HU6 7RX, N Humberside, England; Univ Manchester, Dept Comp Sci, Manchester M13 9PL, Lancs, England</t>
  </si>
  <si>
    <t>Ruhr University Bochum; University of Hull; University of Manchester</t>
  </si>
  <si>
    <t>Sauer, J (corresponding author), Ruhr Univ Bochum, Fak Psychol, Dept Psychol, D-44780 Bochum, Germany.</t>
  </si>
  <si>
    <t>Sauer, Juergen/AFD-8342-2022</t>
  </si>
  <si>
    <t>Sauer, Juergen/0000-0003-2105-1694; Hockey, Glyn/0000-0001-8152-6984</t>
  </si>
  <si>
    <t>AEROSPACE MEDICAL ASSOC</t>
  </si>
  <si>
    <t>ALEXANDRIA</t>
  </si>
  <si>
    <t>320 S HENRY ST, ALEXANDRIA, VA 22314-3579 USA</t>
  </si>
  <si>
    <t>0095-6562</t>
  </si>
  <si>
    <t>AVIAT SPACE ENVIR MD</t>
  </si>
  <si>
    <t>Aviat. Space Environ. Med.</t>
  </si>
  <si>
    <t>Public, Environmental &amp; Occupational Health; Medicine, General &amp; Internal; Sport Sciences</t>
  </si>
  <si>
    <t>Public, Environmental &amp; Occupational Health; General &amp; Internal Medicine; Sport Sciences</t>
  </si>
  <si>
    <t>174BZ</t>
  </si>
  <si>
    <t>WOS:000079015400005</t>
  </si>
  <si>
    <t>Boyd, IL</t>
  </si>
  <si>
    <t>Foraging and provisioning in Antarctic fur seals: interannual variability in time-energy budgets</t>
  </si>
  <si>
    <t>BEHAVIORAL ECOLOGY</t>
  </si>
  <si>
    <t>Arctocephalus gazella; Antarctic fur seals; lactation; optimization; provisioning; time budgets</t>
  </si>
  <si>
    <t>ARCTOCEPHALUS-GAZELLA; SOUTH GEORGIA; BEHAVIORAL ECOLOGY; PREY ABUNDANCE; GROWTH-RATE; EFFICIENCY; MILK; ALLOCATION; KRILL; DIET</t>
  </si>
  <si>
    <t>This study examined three competing hypotheses to explain how lactating Antarctic fur seals (Arctocephalus gazella) respond to changes in the level of resource availability. Antarctic fur seals have episodic bouts of suckling (1-3 days), alternating with foraging trips (3-10 days). Foraging time budgets varied significantly (p &lt;.001) among 8 consecutive years at Bird Island, South Georgia. Foraging trip duration increased during periods of relative food shortage. Time spent ashore was more consistent among years than foraging trip duration but declined during a year of particularly low food availability. In 4 of the 8 years, there was a significant positive correlation between time spent ashore and foraging trip duration. In the other years, the relationship was close to statistical significance. Energy delivery to pops during suckling bouts followed an asymptotic power function. Energy gain during foraging trips was estimated from diving behavior, which suggested that the energy gain function was linear. Distance traveled during foraging trips was correlated with foraging trip duration, and long foraging trips were associated with reduced foraging intensity. There was support for the hypothesis that lactating Antarctic fur seals compensate for reduced resources by increasing the foraging trip duration rather than working harder and increasing their energy expenditure. However, there was most support for the hypothesis that lactating Antarctic fur seals adjust time spent ashore as well as foraging trip duration, possibly to maximize the delivery of food to their offspring. Lactation appears to impose constraints on provisioning of offspring that differ from those of seabirds foraging in the same environment and often on the same prey.</t>
  </si>
  <si>
    <t>i.boyd@bas.ac.uk</t>
  </si>
  <si>
    <t>1045-2249</t>
  </si>
  <si>
    <t>1465-7279</t>
  </si>
  <si>
    <t>BEHAV ECOL</t>
  </si>
  <si>
    <t>Behav. Ecol.</t>
  </si>
  <si>
    <t>10.1093/beheco/10.2.198</t>
  </si>
  <si>
    <t>Behavioral Sciences; Biology; Ecology; Zoology</t>
  </si>
  <si>
    <t>Behavioral Sciences; Life Sciences &amp; Biomedicine - Other Topics; Environmental Sciences &amp; Ecology; Zoology</t>
  </si>
  <si>
    <t>184ZA</t>
  </si>
  <si>
    <t>WOS:000079642600013</t>
  </si>
  <si>
    <t>Möller, P; Bolshiyanov, DY; Bergsten, H</t>
  </si>
  <si>
    <t>Weichselian geology and palaeoenvironmental history of the central Taymyr Peninsula, Siberia, indicating no glaciation during the last global glacial maximum</t>
  </si>
  <si>
    <t>BOREAS</t>
  </si>
  <si>
    <t>BENTHIC FORAMINIFERA; ICE SHEETS; SVALBARD; EURASIA</t>
  </si>
  <si>
    <t>The Taymyr Peninsula constitutes the eastern delimitation of a possible Kara Sea basin ice sheet. The existence of such an ice sheet during the last global glacial maximum (LGM), i.e. during the Late Weichselian/Upper Zyryansk, is favoured by some Russian scientists. However, a growing number of studies point towards a more minimalistic view concerning the areal extent of Late Weichselian/Upper Zyryansk Siberian glaciation, Investigations carried out by us along the central Byrranga Mountains and in the Taymyr Lake basin south thereof, reject the possibility of a Late Weichselian/Upper Zyryansk glaciation of this area. Our conclusion is based on the following: Dating of a continuous lacustrine sediment sequence at Cape Sabler on the Taymyr Lake shows that it spans at least the period 39-17 ka BP. Even younger ages have been reported, suggesting that this lacustrine environment prevailed until shortly before the Holocene. The distribution of these sediments indicates the existence of a paleo-Taymyr lake reaching c. 60 m above present sea level. A reconnaissance of the central part of the Byrranga Mountains gave no evidence of any more recent glacial coverage. The only evidence of glaciation - an indirect one - is deltaic sequences around 100-120 m a.s.l., suggesting glacio-isostatic depression and a large input of glacial meltwater from the north. However, C-14 and ESR datings of these marine sediments suggest that they are of Early Weichselian/Lower Zyryansk or older age. As they are not covered by till and show no glaciotectonic disturbances, they support our opinion that there was no Late Weichselian/lower Zyryansk glaciation in this area. We thus suggest that the Taymyr Peninsula was most probably glaciated during the early part of the last glacial cycle (when there was only small- to medium-scale glaciation in Scandinavia), but not glaciated during the later part of that cycle (which had the maximum ice-sheet coverage over north-western Europe). This fits a climatic scenario suggesting that the Taymyr area, like most of Siberia, would come into precipitation shadow during times with large-scale ice-sheet coverage of Scandinavia and the rest of north-western Europe.</t>
  </si>
  <si>
    <t>Univ Lund, Dept Quarternary Geol, S-22362 Lund, Sweden; Arctic &amp; Antarctic Res Inst, Sect Geog, St Petersburg 199397, Russia; Univ Gothenburg, Ctr Earth Sci, Dept Oceanog, S-41381 Gothenburg, Sweden</t>
  </si>
  <si>
    <t>Lund University; Arctic &amp; Antarctic Research Institute; University of Gothenburg</t>
  </si>
  <si>
    <t>Möller, P (corresponding author), Univ Lund, Dept Quarternary Geol, Solvegatan 13, S-22362 Lund, Sweden.</t>
  </si>
  <si>
    <t>Möller, Per/AAJ-7963-2020; Bolshiyanov, Dmitriy D.Yu./N-2254-2015</t>
  </si>
  <si>
    <t>Möller, Per/0000-0001-5365-2668;</t>
  </si>
  <si>
    <t>SCANDINAVIAN UNIVERSITY PRESS</t>
  </si>
  <si>
    <t>OSLO</t>
  </si>
  <si>
    <t>PO BOX 2959 TOYEN, JOURNAL DIVISION CUSTOMER SERVICE, N-0608 OSLO, NORWAY</t>
  </si>
  <si>
    <t>0300-9483</t>
  </si>
  <si>
    <t>Boreas</t>
  </si>
  <si>
    <t>188NX</t>
  </si>
  <si>
    <t>WOS:000079855300007</t>
  </si>
  <si>
    <t>Svendsen, JI; Astakhov, VI; Bolshiyanov, DY; Demidov, I; Dowdeswell, JA; Gataullin, V; Hjort, C; Hubberten, HW; Larsen, E; Mangerud, J; Melles, M; Möller, P; Saarnisto, M; Siegert, MJ</t>
  </si>
  <si>
    <t>Maximum extent of the Eurasian ice sheets in the Barents and Kara Sea region during the Weichselian</t>
  </si>
  <si>
    <t>ARCTIC RUSSIA; SVALBARD; HISTORY; SIBERIA</t>
  </si>
  <si>
    <t>Based on field investigations in northern Russia and interpretation of offshore seismic data, we have made a preliminary reconstruction of the maximum ice-sheet extent in the Barents and Kara Sea region during the Early/Middle Weichselian and the Late Weichselian. Our investigations indicate that die Barents and Kara ice sheets attained their maximum Weichselian positions in northern Russia prior to 50 000 yr BP, whereas the northeastern flank of the Scandinavian Ice Sheet advanced to a maximum position shortly after 17 000 calendar years ago. During the Late Weichselian (25000-10 000 yr BP), much of the Russian Arctic remained ice-free. According to our reconstruction, the extent of the ice sheets in the Barents and Kara Sea region during the Late Weiehselian glacial maximum was less than half that of the maximum model which, up to now, has been widely used as a boundary condition for testing and refining General Circulation Models (CCMs). Preliminary numerical-modelling experiments predict Late Weichselian ice sheets which are larger than the ice extent implied for the Kara Sea region from dated geological evidence, suggesting very low precipitation.</t>
  </si>
  <si>
    <t>Univ Bergen, Ctr Resource &amp; Environm Studies, N-5020 Bergen, Norway; St Petersburg State Univ, Geol Fac, St Petersburg 199034, Russia; Arctic &amp; Antarctic Res Inst, Sect Geog, St Petersburg 199392, Russia; Russian Acad Sci, Karelian Branch, Inst Geol, Petrozavodsk 125610, Russia; Univ Bristol, Sch Geog Sci, Bristol Glaciol Ctr, Bristol BS8 1SS, Avon, England; Oil &amp; Gas Res Inst, LV-1226 Riga, Latvia; Lund Univ, Dept Quaternary Geol, SE-22362 Lund, Sweden; Alfred Wegener Inst Polar &amp; Marine Res, D-14401 Potsdam, Germany; Geol Survey Norway, N-7002 Trondheim, Norway; Univ Bergen, Dept Geol, N-5007 Bergen, Norway; Geol Survey Finland, FI-02151 Espoo, Uusimaa, Finland</t>
  </si>
  <si>
    <t>University of Bergen; Saint Petersburg State University; Arctic &amp; Antarctic Research Institute; Russian Academy of Sciences; Karelian Research Centre of the Russian Academy of Sciences; Institute of Geology of the Karelian Research Centre (IG KarRC); University of Bristol; Lund University; Helmholtz Association; Alfred Wegener Institute, Helmholtz Centre for Polar &amp; Marine Research; Geological Survey of Norway; University of Bergen; Geological Survey of Finland (GTK)</t>
  </si>
  <si>
    <t>Univ Bergen, Ctr Resource &amp; Environm Studies, Hoyteknologisenteret HIB, N-5020 Bergen, Norway.</t>
  </si>
  <si>
    <t>john.svendsen@smr.uib.no</t>
  </si>
  <si>
    <t>Siegert, Martin J/A-3826-2008; astakhov, valery/F-1244-2010; Melles, Martin/J-4070-2012; Möller, Per/AAJ-7963-2020; Siegert, Martin/M-9939-2019; Bolshiyanov, Dmitriy D.Yu./N-2254-2015</t>
  </si>
  <si>
    <t>Siegert, Martin J/0000-0002-0090-4806; astakhov, valery/0000-0002-3823-6073; Melles, Martin/0000-0003-0977-9463; Möller, Per/0000-0001-5365-2668; Siegert, Martin/0000-0002-0090-4806; Dowdeswell, Julian/0000-0003-1369-9482</t>
  </si>
  <si>
    <t>1502-3885</t>
  </si>
  <si>
    <t>10.1111/j.1502-3885.1999.tb00217.x</t>
  </si>
  <si>
    <t>WOS:000079855300016</t>
  </si>
  <si>
    <t>Beamish, RJ; Noakes, DJ; McFarlane, GA; Klyashtorin, L; Ivanov, VV; Kurashov, V</t>
  </si>
  <si>
    <t>The regime concept and natural trends in the production of Pacific salmon</t>
  </si>
  <si>
    <t>ATMOSPHERIC ANGULAR-MOMENTUM; BRITISH-COLUMBIA; NORTH PACIFIC; MARINE-ENVIRONMENT; EL-NINO; INTERANNUAL FLUCTUATIONS; INTERDECADAL VARIATIONS; SOUTHERN OSCILLATION; CLIMATE VARIABILITY; ONCORHYNCHUS-NERKA</t>
  </si>
  <si>
    <t>Large fluctuations in the trends of Pacific salmon production in this century have been linked to trends in climate in the Pacific that are in turn associated with climate trends throughout the Northern Hemisphere. The close correspondence in the persistence of climate trends and the synchrony of the changes is evidence that a common event may cause the regime shifts. The trends or regimes can be characterized by stable means in physical data series or multiyear periods of linked recruitment patterns in fish populations. The regime concept is important in fisheries management because the natural shifts in abundance may be large and sudden, requiring that these natural impacts be distinguished from fishing effects. An equally important consideration is that biological and physical mechanisms may change when regimes shift, resulting in conditions that may not be characterized in the earlier part of the data series. Fluctuations in Pacific salmon abundance in this century were synchronous with large fluctuations in Japanese sardine abundance, which can be traced back to the early 1600's. The synchrony in the fluctuations suggests that Pacific salmon abundance may have fluctuated for centuries in response to trends in climate. The concept of regimes and regime shifts stresses the need to improve our understanding of the mechanisms that regulate the dynamics of fish and their ecosystems.</t>
  </si>
  <si>
    <t>Fisheries &amp; Oceans Canada, Pacific Biol Stn, Nanaimo, BC V9R 5K6, Canada; All Union Res Inst Marine Fisheries &amp; Oceanog, VNIRO, Moscow 107140, Russia; Arctic &amp; Antarctic Res Inst, St Petersburg 199397, Russia</t>
  </si>
  <si>
    <t>Fisheries &amp; Oceans Canada; Research lnstitute of Fisheries &amp; Oceanography; Arctic &amp; Antarctic Research Institute</t>
  </si>
  <si>
    <t>Fisheries &amp; Oceans Canada, Pacific Biol Stn, 3190 Hammond Bay Rd, Nanaimo, BC V9R 5K6, Canada.</t>
  </si>
  <si>
    <t>beamishr@dfo-mpo.gc.ca</t>
  </si>
  <si>
    <t>Ebersole, Joseph L/A-8371-2009</t>
  </si>
  <si>
    <t>Ebersole, Joseph L/0000-0003-1050-1995</t>
  </si>
  <si>
    <t>1205-7533</t>
  </si>
  <si>
    <t>10.1139/cjfas-56-3-516</t>
  </si>
  <si>
    <t>209BQ</t>
  </si>
  <si>
    <t>WOS:000081027800017</t>
  </si>
  <si>
    <t>Bale, JS; Worland, MR; Block, W</t>
  </si>
  <si>
    <t>Comparative thermal tolerance of herbivorous and predatory beetles on South Georgia, sub-Antarctic</t>
  </si>
  <si>
    <t>CRYO-LETTERS</t>
  </si>
  <si>
    <t>RESPONSES</t>
  </si>
  <si>
    <t>On the sub-Antarctic island of South Georgia the field distributions of two herbivorous perimylopid beetles Hydromedion sparsutum and Perimylops antarcticus overlap with the latter occurring at higher altitudes. An introduced predatory carabid beetle (Trechisibus antarcticus) is found in the coastal lowlands in close association with H. sparsutum. Laboratory experiments confirmed the hypothesis that the distribution and origin of the species is reflected in a decreasing order of cold hardiness (P. antarcticus &gt; H. sparsutum &gt; T. antarcticus) with the sequence reversed in exposures at high temperatures. The use of such laboratory assessments (supercooling points, upper and lower lethal temperatures) when applied to single species and as a comparative bioassay, is discussed.</t>
  </si>
  <si>
    <t>Univ Birmingham, Sch Biol Sci, Birmingham B15 2TT, W Midlands, England; British Antarctic Survey, NERC, Cambridge CB3 0ET, England</t>
  </si>
  <si>
    <t>University of Birmingham; UK Research &amp; Innovation (UKRI); Natural Environment Research Council (NERC); NERC British Antarctic Survey</t>
  </si>
  <si>
    <t>Bale, JS (corresponding author), Univ Birmingham, Sch Biol Sci, POB 363, Birmingham B15 2TT, W Midlands, England.</t>
  </si>
  <si>
    <t>CRYO LETTERS</t>
  </si>
  <si>
    <t>7 WOOTTON WAY, CAMBRIDGE, CAMBS, ENGLAND CB3 9LX</t>
  </si>
  <si>
    <t>0143-2044</t>
  </si>
  <si>
    <t>CRYO-LETT</t>
  </si>
  <si>
    <t>Cryo-Lett.</t>
  </si>
  <si>
    <t>Biology; Physiology</t>
  </si>
  <si>
    <t>Life Sciences &amp; Biomedicine - Other Topics; Physiology</t>
  </si>
  <si>
    <t>185PV</t>
  </si>
  <si>
    <t>WOS:000079679500004</t>
  </si>
  <si>
    <t>Obata, H; Muryoi, N; Kawahara, H; Yamade, K; Nishikawa, J</t>
  </si>
  <si>
    <t>Identification of a novel ice-nucleating bacterium of Antarctic origin and its ice nucleation properties</t>
  </si>
  <si>
    <t>CRYOBIOLOGY</t>
  </si>
  <si>
    <t>ice-nucleating activity; ice-nucleating bacterium; ice-nucleating temperature; Pseudomonas antarctica IN-74</t>
  </si>
  <si>
    <t>ERWINIA-UREDOVORA KUIN-3; ACTIVE BACTERIA; FREEZING NUCLEI; FROST INJURY; PURIFICATION; PLANTS</t>
  </si>
  <si>
    <t>A novel ice-nucleating bacterium (INB) was isolated from Ross Island, Antarctica. INBs could be isolated more frequently than was generally thought. INB strain IN-74 was found in the white colony group. Strain IN-74 was identified from its taxonomic characteristics as a novel INB, Pseudomonas antarctica IN-74. When strain IN-74 was cultured aerobically in a medium consisting of the ice-nucleating broth (pH 7.0) for 6 days at 4 degrees C, the ice-nucleating activity of strain IN-74 cells was obtained. Strain IN-74 cells produced ice nuclei only at extremely low growth temperatures. The nuclei appeared to be less thermolabile than those of INB Pseudomonas fluorescens KUIN-1. The freezing difference spectra in D2O and H2O at ice-nucleating temperature for strain IN-74 cells and conventional INBs (Pseudomonas fluorescens KUIN-1, Pseudomonas viridiflava KUIN-2, and Pseudomonas syringae C-9) exhibited different curves. (C) 1999 Academic Press.</t>
  </si>
  <si>
    <t>Kansai Univ, Fac Engn, Dept Biotechnol, Suita, Osaka 5648680, Japan; Kansai Univ, High Technol Res Ctr, Suita, Osaka 5648680, Japan; Sci Univ Tokyo, Fac Sci &amp; Technol, Dept Appl Biol Sci, Chiba 2780022, Japan</t>
  </si>
  <si>
    <t>Kansai University; Kansai University; Tokyo University of Science</t>
  </si>
  <si>
    <t>Obata, H (corresponding author), Kansai Univ, Fac Engn, Dept Biotechnol, 3-3-35 Yamatecho, Suita, Osaka 5648680, Japan.</t>
  </si>
  <si>
    <t>Nishikawa, Jun/AAE-5355-2020</t>
  </si>
  <si>
    <t>ACADEMIC PRESS INC</t>
  </si>
  <si>
    <t>SAN DIEGO</t>
  </si>
  <si>
    <t>525 B ST, STE 1900, SAN DIEGO, CA 92101-4495 USA</t>
  </si>
  <si>
    <t>0011-2240</t>
  </si>
  <si>
    <t>Cryobiology</t>
  </si>
  <si>
    <t>10.1006/cryo.1999.2156</t>
  </si>
  <si>
    <t>190AB</t>
  </si>
  <si>
    <t>WOS:000079938400004</t>
  </si>
  <si>
    <t>Ray, MK; Sitaramamma, T; Kumar, GS; Kannan, K; Shivaji, S</t>
  </si>
  <si>
    <t>Transcriptional activity at supraoptimal temperature of growth in the Antarctic psychrotrophic bacterium Pseudomonas syringae</t>
  </si>
  <si>
    <t>CURRENT MICROBIOLOGY</t>
  </si>
  <si>
    <t>DEPENDENT RNA-POLYMERASE; SCHIRMACHER OASIS; IDENTIFICATION; PURIFICATION; ENZYME; SOILS</t>
  </si>
  <si>
    <t>Transcriptional activity was monitored in cells of the Antarctic psychrotrophic bacterium Pseudomonas syringae (Lz4W), which does not grow above 30 degrees C. It was observed that the bacterium was capable of synthesising RNA at a temperature range of 0-37 degrees C, both in vitro and in vivo. The net incorporation of the radioactive precursor, [H-3]uridine, into RNA was found to be affected at 37 degrees C. A pulse-chase experiment following a P-32 labeling of RNA in vivo indicated that the ribosomal RNAs (rRNAs) degrade faster at and above 30 degrees C. It was also found that the increased ribonuclease (RNase) activity at high temperature might be responsible for this degradation. The attack on ribosomal RNAs by RNase took place after their assembly into ribosomal particles. It is suggested that the degradation of rRNAs at supraoptimal temperatures might be a detrimental factor for growth above 30 degrees C.</t>
  </si>
  <si>
    <t>shivaji, sisinthy/0000-0003-0376-4658</t>
  </si>
  <si>
    <t>0343-8651</t>
  </si>
  <si>
    <t>1432-0991</t>
  </si>
  <si>
    <t>CURR MICROBIOL</t>
  </si>
  <si>
    <t>Curr. Microbiol.</t>
  </si>
  <si>
    <t>10.1007/PL00006778</t>
  </si>
  <si>
    <t>166ZP</t>
  </si>
  <si>
    <t>WOS:000078608300002</t>
  </si>
  <si>
    <t>Winter, A; Elbrächter, M; Krause, G</t>
  </si>
  <si>
    <t>Subtropical coccolithophores in the Weddell Sea</t>
  </si>
  <si>
    <t>ANTARCTIC CIRCUMPOLAR CURRENT; SCOTIA CONFLUENCE AREA; SOUTHERN-OCEAN; PHYTOPLANKTON; SECTOR; WATERS; EDDY</t>
  </si>
  <si>
    <t>Eleven subtropical coccolithophore species were identified in three samples taken in the austral autumn from the Weddell Sea, Antarctic, between 69 degrees S and 70 degrees S, just south of the Antarctic Slope Front. This is the first report of coccolithophores present at such southern latitudes. We provide three hypotheses for their occurrence in the Weddell Sea: (1) Coccolithophore species have wider temperature tolerances than previously believed. (2) Coccolithophores found in the Weddell Sea were part of a remnant community from the Agulhas Current. (3) Coccolithophores were transported by a N-S eddy crossing the Brazil-Malvinas confluence region and then subsequently transported to the east by warm water eddies of the Antarctic Circumpolar Current to the study location. Further temperature tolerance experiments with coccolithophores are recommended. (C) 1999 Elsevier Science Ltd. All rights reserved.</t>
  </si>
  <si>
    <t>Univ Puerto Rico, Dept Marine Sci, Mayaguez, PR 00709 USA; Biol Anstalt Helgoland, Taxon Arbeitsgrp, Sylt, Germany; Alfred Wegener Inst Polar &amp; Marine Res, D-2850 Bremerhaven, Germany</t>
  </si>
  <si>
    <t>University of Puerto Rico; University of Puerto Rico Mayaguez; Helmholtz Association; Alfred Wegener Institute, Helmholtz Centre for Polar &amp; Marine Research; Helmholtz Association; Alfred Wegener Institute, Helmholtz Centre for Polar &amp; Marine Research</t>
  </si>
  <si>
    <t>Univ Puerto Rico, Dept Marine Sci, Mayaguez, PR 00709 USA.</t>
  </si>
  <si>
    <t>a.winter@rumac.uprm.edu</t>
  </si>
  <si>
    <t>Krause, Gesche/L-7394-2017</t>
  </si>
  <si>
    <t>10.1016/S0967-0637(98)00076-4</t>
  </si>
  <si>
    <t>178CM</t>
  </si>
  <si>
    <t>WOS:000079248500003</t>
  </si>
  <si>
    <t>Eynaud, F; Giraudeau, J; Pichon, JJ; Pudsey, CJ</t>
  </si>
  <si>
    <t>Sea-surface distribution of coccolithophores, diatoms, silicoflagellates and dinoflagellates in the South Atlantic Ocean during the late austral summer 1995</t>
  </si>
  <si>
    <t>INDIAN-OCEAN; SUBTROPICAL CONVERGENCE; EMILIANIA-HUXLEYI; NORTH-ATLANTIC; RED-SEA; AFRICA; PHYTOPLANKTON; BENGUELA; COMMUNITIES; FRONTS</t>
  </si>
  <si>
    <t>The sea-surface distribution of four selected fossilizable phytoplankton groups (coccolithophores, diatoms, silicoflagellates and dinoflagellates) has been studied along a transect from Cape Town (34 degrees S) to South Sandwich Islands (57 degrees S) during the late austral summer. The observed distribution of these groups shows that their biogeographical distribution is significantly constrained by the water masses and associated frontal systems of the Southern Ocean. Coccolithophores are the dominant group and show cell abundances up to 51 x 10(3) cells/1 down to 57 degrees S. Three restricted areas are marked by particularly high cell densities: the continental shelf of South Africa, the area between the Sub-Tropical Convergence and the Sub-Antarctic Front, and the southern border of the Antarctic Polar Front, where the highest abundances are recorded (&gt; 650 x 10(3) cells/l). The species composition of the various assemblages representative of the four groups defines distinct biogeographical zones bounded by marked sea-surface temperature gradients. This biogeographical distribution is confirmed by factor analysis of the coccolithophore (5 factors, 85% of the total variance) and diatom and silicoflagellate (7 factors, 87.5% of the total variance) populations. When compared with the distribution pattern of siliceous fossil assemblages in surface sediments, our data show a more accurate coupling between the various water-masses of the South Atlantic Ocean and the living siliceous population. (C) 1999 Elsevier Science Ltd. All rights reserved.</t>
  </si>
  <si>
    <t>Univ Bordeaux 1, Dept Geol &amp; Oceanog, URA 197 CNRS, F-33405 Talence, France; British Antarctic Survey, Cambridge CB3 0ET, England</t>
  </si>
  <si>
    <t>Universite de Bordeaux; UK Research &amp; Innovation (UKRI); Natural Environment Research Council (NERC); NERC British Antarctic Survey</t>
  </si>
  <si>
    <t>Eynaud, F (corresponding author), Univ Bordeaux 1, Dept Geol &amp; Oceanog, URA 197 CNRS, Ave Fac, F-33405 Talence, France.</t>
  </si>
  <si>
    <t>eynaud@geocean.u-bordeaux.fr</t>
  </si>
  <si>
    <t>Giraudeau, Jacques/AAF-5764-2019</t>
  </si>
  <si>
    <t>Giraudeau, Jacques/0000-0002-5069-4667; Eynaud, Frederique/0000-0003-1283-7425</t>
  </si>
  <si>
    <t>10.1016/S0967-0637(98)00079-X</t>
  </si>
  <si>
    <t>WOS:000079248500004</t>
  </si>
  <si>
    <t>Kirkwood, R; Robertson, G</t>
  </si>
  <si>
    <t>The occurrence and purpose of huddling by Emperor Penguins during foraging trips</t>
  </si>
  <si>
    <t>ECOLOGY; WINTER</t>
  </si>
  <si>
    <t>Between May and October 1993, temperature/light recorders mounted on the backs of Emperor Penguins Aptenodytes forsteri on foraging trips recorded occasions when light intensities were consistent with night-time but temperatures exceeded 23 degrees C (the upper limit of the sensors); ambient air temperatures were &lt; -15 degrees C. The most likely explanation for the low light and high temperatures is that the penguins huddled together to share body warmth. The penguins apparently huddled at night during journeys to and from the ice-edge, especially on arrival at the ice-edge, and occasionally between foraging days at sea. Between june and October, as day length and ambient temperatures increased, the frequency and duration of huddling events decreased. Away-from-colony huddling would reduce a penguin's metabolic costs while resting on the sea-ice during cold periods and could reinforce a behaviour that is required to survive extended periods of fasting at the colony.</t>
  </si>
  <si>
    <t>Phillip Isl Nat Pk, POB 97, Cowes, Vic 3922, Australia.</t>
  </si>
  <si>
    <t>Kirkwood, Roger/0000-0003-4221-4050</t>
  </si>
  <si>
    <t>10.1071/MU99006</t>
  </si>
  <si>
    <t>174LT</t>
  </si>
  <si>
    <t>WOS:000079037200006</t>
  </si>
  <si>
    <t>Tuck, GN; Polacheck, T; Croxall, JP; Weimerskirch, H; Prince, PA; Wotherspoon, S</t>
  </si>
  <si>
    <t>The potential of archival tags to provide long-term movement and behaviour data for seabirds:: First results from Wandering Albatross Diomedea exulans of South Georgia and the Crozet Islands</t>
  </si>
  <si>
    <t>EMU-AUSTRAL ORNITHOLOGY</t>
  </si>
  <si>
    <t>POPULATION-DYNAMICS; SATELLITE TRACKING; BREEDING-SEASON; INDIAN-OCEAN; MORTALITY</t>
  </si>
  <si>
    <t>This paper reports the first attempts at geo-location of albatrosses using miniature data loggers attached to seabirds for extended periods of time. The paper highlights the potential of data loggers to gain insights into the foraging distribution and behaviour of seabirds. Archival tags recording light and temperature were placed on nonbreeding Wandering Albatrosses Diomedea exulans from South Georgia and the Crozet Islands. Estimates of position for a Wandering Albatross from the Crozet Islands indicated an extensive journey from southern Africa across the Indian Ocean to south-eastern Australia and east of New Zealand. A Wandering Albatross from South Georgia apparently moved east across the Atlantic Ocean, while another moved west to longitudes approximating the Patagonian Shelf. These areas correspond to previously known movement patterns to areas of high activity by Southern Ocean longline fishing fleets. Albatrosses are an important by-catch of these fisheries, and knowledge of the spatial and temporal distributions of these threatened species will assist assessments of interactions and risk.</t>
  </si>
  <si>
    <t>CSIRO, Div Marine Res, Hobart, Tas 7001, Australia; British Antarctic Survey, NERC, Cambridge CB3 0ET, England; CNRS, Ctr Etud Biol Chize, F-79360 Beauvoir Sur Niort, France</t>
  </si>
  <si>
    <t>Commonwealth Scientific &amp; Industrial Research Organisation (CSIRO); UK Research &amp; Innovation (UKRI); Natural Environment Research Council (NERC); NERC British Antarctic Survey; Centre National de la Recherche Scientifique (CNRS)</t>
  </si>
  <si>
    <t>CSIRO, Div Marine Res, GPO Box 1538, Hobart, Tas 7001, Australia.</t>
  </si>
  <si>
    <t>Weimerskirch, Henri/F-5562-2013; Tuck, Geoffrey N/E-2356-2012; Wotherspoon, Simon J/B-2390-2013; Weimerskirch, Henri/K-7306-2019</t>
  </si>
  <si>
    <t>Wotherspoon, Simon J/0000-0002-6947-4445; Weimerskirch, Henri/0000-0002-0457-586X</t>
  </si>
  <si>
    <t>TAYLOR &amp; FRANCIS AUSTRALIA</t>
  </si>
  <si>
    <t>LEVEL 2, 11 QUEENS RD, MELBOURNE, VIC 3004, AUSTRALIA</t>
  </si>
  <si>
    <t>10.1071/MU99008</t>
  </si>
  <si>
    <t>WOS:000079037200008</t>
  </si>
  <si>
    <t>Polnau, E; Eugster, O; Krähenbühl, U; Marti, K</t>
  </si>
  <si>
    <t>Evidence for a precompaction exposure to cosmic rays in a chondrule from the H6 chondrite ALH76008</t>
  </si>
  <si>
    <t>ANTARCTIC METEORITES; NOBLE-GASES; PRODUCTION-RATES; IODINE-XENON; I-XE; AGES; ALLENDE; HISTORY; ARGON; AL-26</t>
  </si>
  <si>
    <t>We studied the cosmic-ray records of the H6 chondrite ALH76008 in a bulk sample, in a chondrule fragment, and in matrix material. The matrix was separated into olivine/pyroxene, plagioclase, and metal concentrates, For all samples He, Ne, and Ar isotopic measurements were performed. The cosmic-ray exposure age of the bulk chondrite is 1.72 +/- 0.11 Ma, whereas the He-3, Ne-21, and Ar-38 ages of the chondrule exceed those of bulk material by 31%, 67%, and 55%, respectively. The radiation environment in the early solar system is ill defined, but for current production rates this translates into a precompaction exposure time of 0.90 Ma. Furthermore, the plagioclase (mainly anorthite) concentrate, representing a few percent of the total meteorite, contains solar-type noble gases that reveal differential irradiation of ALH76008 components. We observe a trapped ratio Ne-20/Ne-22 = 12.3 +/- 0.3, a value that is between those of solar wind and solar energetic particles. This is the first clear identification of differential irradiation conditions between a chondrule and the bull; chondrite; the short exposure age may favor the resolution of differential exposure histories. Copyright (C) 1999 Elsevier Science Ltd.</t>
  </si>
  <si>
    <t>Univ Bern, Inst Phys, CH-3012 Bern, Switzerland; Univ Bern, Dept Biochem &amp; Chem, CH-3012 Bern, Switzerland; Univ Calif San Diego, Dept Chem, La Jolla, CA 92093 USA</t>
  </si>
  <si>
    <t>University of Bern; University of Bern; University of California System; University of California San Diego</t>
  </si>
  <si>
    <t>Polnau, E (corresponding author), Univ Bern, Inst Phys, CH-3012 Bern, Switzerland.</t>
  </si>
  <si>
    <t>Polnau, Ernst/0000-0002-0979-8712</t>
  </si>
  <si>
    <t>10.1016/S0016-7037(98)00316-0</t>
  </si>
  <si>
    <t>210GP</t>
  </si>
  <si>
    <t>WOS:000081097000012</t>
  </si>
  <si>
    <t>Falcon-Lang, HJ</t>
  </si>
  <si>
    <t>The Early Carboniferous (Courceyan-Arundian) monsoonal climate of the British Isles: evidence from growth rings in fossil woods</t>
  </si>
  <si>
    <t>GEOLOGICAL MAGAZINE</t>
  </si>
  <si>
    <t>DINANTIAN FLORAS; TREES; ENVIRONMENT; PALEOSOLS; SCOTLAND; BRITAIN</t>
  </si>
  <si>
    <t>The British Isles lay at a palaeolatitude of 4 degrees S during the Early Carboniferous (Courceyan-Arundian) period. This paper examines fossil gymnosperm wood from ten localities in western Ireland and southern Scotland in order to analyse palaeoclimate. Fifty-two percent of the 77 fossil wood specimens studied exhibit growth rings that possess subtle, discontinuous ring boundaries and ring increments of narrow but variable width. These growth rings are qualitatively and quantitatively analysed, and are shown to bear a close similarity to growth rings in modern araucarian conifer woods; these araucarian growth rings are formed in response to tropical rainfall seasonality linked to monsoonal circulation. The findings of this study therefore support earlier palaeoclimatic interpretations, based on sedimentological evidence, which suggest that the British Isles experienced a monsoonal climate during the Early Carboniferous (Courceyan-Arundian) period.</t>
  </si>
  <si>
    <t>Univ London, Royal Holloway &amp; Bedford New Coll, Dept Geol, Egham TW20 0EX, Surrey, England</t>
  </si>
  <si>
    <t>University of London; Royal Holloway University London</t>
  </si>
  <si>
    <t>Falcon-Lang, HJ (corresponding author), British Antarctic Survey, High Cross,Madingley Rd, Cambridge CB3 0ET, England.</t>
  </si>
  <si>
    <t>Falcon-Lang, Howard J/D-8465-2011</t>
  </si>
  <si>
    <t>0016-7568</t>
  </si>
  <si>
    <t>GEOL MAG</t>
  </si>
  <si>
    <t>Geol. Mag.</t>
  </si>
  <si>
    <t>10.1017/S0016756899002307</t>
  </si>
  <si>
    <t>187JY</t>
  </si>
  <si>
    <t>WOS:000079784500006</t>
  </si>
  <si>
    <t>Johnston, P; Lambeck, K</t>
  </si>
  <si>
    <t>Postglacial rebound and sea level contributions to changes in the geoid and the Earth's rotation axis</t>
  </si>
  <si>
    <t>GEOPHYSICAL JOURNAL INTERNATIONAL</t>
  </si>
  <si>
    <t>Earth's rotation; geoid; glacial rebound; mantle viscosity; true polar wander</t>
  </si>
  <si>
    <t>ANTARCTIC ICE-SHEET; TRUE POLAR WANDER; MANTLE VISCOSITY; PLEISTOCENE DEGLACIATION; LITHOSPHERIC THICKNESS; GRAVITATIONAL-FIELD; LAGEOS; MODEL; RISE; ACCELERATION</t>
  </si>
  <si>
    <t>The rate of change of the spherical harmonic degree 2 component of the Earth's gravitational potential (&lt;((C) over dot)over bar&gt;(20)) and polar wander velocity are two signals which are sensitive to Late Pleistocene deglaciation, current changes in sea level and deep mantle viscosity. Different load and earth models have been used in earlier papers to predict the component of these geophysical signals caused by the collapse of the last great ice sheets and recent melting of polar ice caps. In this paper, we present a systematic analysis of the dependence of the predictions on parameters of the ice and earth model. We show that the key parameters of the ice model which govern the predictions are the mass, the location of the centre of mass and the midpoint of the deglaciation phase. Of secondary importance is the length of the deglaciation phase and the mean ice load prior to the Last Glacial Maximum. These conclusions enable us to make a more robust inference of mantle viscosity than has been made before, allowing for the uncertainties in the model of Late Pleistocene and present deglaciation. As previous authors have shown, the lower-mantle viscosity is the most important rheological parameter and therefore the &lt;((C) over dot)over bar&gt;(20) observation complements sea level observations, which are primarily sensitive to lithospheric thickness and the viscosity of the upper part of the mantle. Using realistic constraints on the sizes, locations and timing of deglaciation of the Late Pleistocene ice sheets and current changes in polar ice caps, the observation of &lt;((C) over dot)over bar&gt;(20) is used to infer lower-mantle viscosity as a function of the present rate of sea level change. If the present rate of non-steric sea level change is 1 mm yr(-1) and that change has been occurring for less than 1000 years, then the lower-mantle viscosity satisfies log(10) eta(lm) = 21.82 +/- 0.15, which is consistent with inferences drawn from recent sea level analyses and confirms other analyses of the &lt;((C) over dot)over bar&gt;(20) observation. If the polar wander signal is produced entirely by postglacial rebound and current sea level change, no more than 20 per cent of the present contribution to global sea level change comes from Greenland. The above conclusions also hold if the density discontinuities at 420 and 670 km are modelled as phase boundaries rather than material (chemical) boundaries.</t>
  </si>
  <si>
    <t>Australian Natl Univ, Res Sch Earth Sci, Canberra, ACT 0200, Australia.</t>
  </si>
  <si>
    <t>paul@rses.anu.edu.au</t>
  </si>
  <si>
    <t>Johnston, Paul/N-7117-2018; Johnston, Paul/C-2449-2013</t>
  </si>
  <si>
    <t>Johnston, Paul/0000-0001-8605-0620;</t>
  </si>
  <si>
    <t>0956-540X</t>
  </si>
  <si>
    <t>1365-246X</t>
  </si>
  <si>
    <t>GEOPHYS J INT</t>
  </si>
  <si>
    <t>Geophys. J. Int.</t>
  </si>
  <si>
    <t>10.1046/j.1365-246x.1999.00738.x</t>
  </si>
  <si>
    <t>176HM</t>
  </si>
  <si>
    <t>WOS:000079145700004</t>
  </si>
  <si>
    <t>Gnanadesikan, A</t>
  </si>
  <si>
    <t>A global model of silicon cycling: Sensitivity to eddy parameterization and dissolution</t>
  </si>
  <si>
    <t>GENERAL-CIRCULATION MODEL; WORLD OCEAN; TRACER TRANSPORTS; BIOGENIC SILICA; NORTH-ATLANTIC; CARBON-DIOXIDE; SARGASSO SEA; BUDGET; SIMULATIONS; RADIOCARBON</t>
  </si>
  <si>
    <t>A simple model of silicon cycling has been embedded in a coarse-resolution ocean general circulation model. The modeled distribution of silicate was extremely sensitive to the parameterization of the effects of mesoscale eddies, and was somewhat sensitive to the distribution of dissolution within the water column. The modeled export flux of biogenic silica varied by a factor of 2 with respect to both the range of dissolution and eddy parameterizations. The best results were found when eddies were parameterized as mixing along isopycnals while simultaneously driving an advective flux so as to homogenize the depth of isopycnal surfaces (the so-called Gent-McWilliams parameterization). The Gent-McWilliams scheme produced the most realistic stratification field in the Southern Ocean, reducing vertical exchange and hence export fluxes of biogenic silica. This scheme did not solve the model's tendency to underpredict the formation of the North Atlantic Deep Water and to overpredict the importance of Antarctic source waters in the abyss, especially in the Atlantic. When used with a temperature-dependent dissolution scheme, this model predicted a global production of 89 Tmol yr(-1) with about 40% occurring in both the Southern Ocean and the tropics. In both the North Pacific and Southern Oceans, local silicate maxima are maintained by near-surface inflow of silicate with outflow at depth. The modeled production of biogenic silica showed little sensitivity to polar freshening when the Gent-McWilliams parameterization was used. The results emphasize the impact of including both the diffusive and advective effects of eddies, as in the Gent-McWilliams parameterization.</t>
  </si>
  <si>
    <t>Princeton Univ, Atmospher &amp; Ocean Sci Program, Princeton, NJ 08544 USA</t>
  </si>
  <si>
    <t>Princeton University; National Oceanic Atmospheric Admin (NOAA) - USA</t>
  </si>
  <si>
    <t>Gnanadesikan, A (corresponding author), Princeton Univ, Atmospher &amp; Ocean Sci Program, POB CN710, Princeton, NJ 08544 USA.</t>
  </si>
  <si>
    <t>Gnanadesikan, Anand/A-2397-2008</t>
  </si>
  <si>
    <t>Gnanadesikan, Anand/0000-0001-5784-1116</t>
  </si>
  <si>
    <t>10.1029/1998GB900013</t>
  </si>
  <si>
    <t>173WP</t>
  </si>
  <si>
    <t>WOS:000079003000015</t>
  </si>
  <si>
    <t>Hodkinson, ID; Webb, NR; Bale, JS; Block, W</t>
  </si>
  <si>
    <t>Hydrology, water availability and tundra ecosystem function in a changing climate: the need for a closer integration of ideas?</t>
  </si>
  <si>
    <t>Alpine; arctic; climate change; community; ecosystem; hydrology; processes; tundra; water</t>
  </si>
  <si>
    <t>COLLEMBOLAN ONYCHIURUS-ARCTICUS; SIMULATED ENVIRONMENTAL-CHANGE; ALPINE TUNDRA; TUSSOCK TUNDRA; ACTIVE LAYER; NITROGEN MINERALIZATION; TERRESTRIAL ECOSYSTEMS; CARBON BALANCE; SOIL-MOISTURE; LITTER DECOMPOSITION</t>
  </si>
  <si>
    <t>Hydrologists and ecologists studying tundra ecosystems have worked largely independently, with little cross-fertilization between disciplines. Their disciplines are, however, inextricably linked by a need to understand the dynamics and significance of the common substance water, in its liquid, solid and gaseous state within tundra environments. The impacts of predicted long-term changes in climate have particularly important consequences for the functioning of tundra systems and there is a pressing need to initiate studies that integrate hydrological and ecological methodologies and concepts. Our paper attempts to summarize existing information on the role of water within tundra ecosystems, to emphasize the fundamental links between the biotic and the physico/chemical, environments and to suggest how a closer integration of ideas might be achieved. Given the breadth of the subject matter the paper is intended to be illustrative rather than comprehensive. The paper examines the physical impacts of water in its various states on the tundra environment, emphasizing in particular the causes of spatial variation in water availability to living organisms. The significance of water is discussed for a range of organism groups, including plants, invertebrates and microorganisms and its pivotal role in ecosystem function and disturbance stressed. The need to develop integrated hydological/ecological models for tundra systems on different spatial scales is emphasized.</t>
  </si>
  <si>
    <t>Liverpool John Moores Univ, Sch Biol &amp; Earth Sci, Liverpool L3 3AF, Merseyside, England; NERC, Inst Terr Ecol, Furzebrook Res Stn, Wareham BH20 5AS, Dorset, England; Univ Birmingham, Sch Biol Sci, Birmingham B15 2TT, W Midlands, England; British Antarctic Survey, NERC, Cambridge CB3 0ET, England</t>
  </si>
  <si>
    <t>Liverpool John Moores University; UK Centre for Ecology &amp; Hydrology (UKCEH); UK Research &amp; Innovation (UKRI); Natural Environment Research Council (NERC); University of Birmingham; UK Research &amp; Innovation (UKRI); Natural Environment Research Council (NERC); NERC British Antarctic Survey</t>
  </si>
  <si>
    <t>Hodkinson, ID (corresponding author), Liverpool John Moores Univ, Sch Biol &amp; Earth Sci, Byrom St, Liverpool L3 3AF, Merseyside, England.</t>
  </si>
  <si>
    <t>i.d.hodkinson@livjm.ac.uk</t>
  </si>
  <si>
    <t>GLOB CHANGE BIOL</t>
  </si>
  <si>
    <t>10.1046/j.1365-2486.1999.00229.x</t>
  </si>
  <si>
    <t>177VD</t>
  </si>
  <si>
    <t>WOS:000079231000009</t>
  </si>
  <si>
    <t>Domack, EW; Mayewski, PA</t>
  </si>
  <si>
    <t>Bi-polar ocean linkages: evidence from late-Holocene Antarctic marine and Greenland ice-core records</t>
  </si>
  <si>
    <t>Antarctic Peninsula; GISP2; glacial marine; bi-polar; palaeoclimate; North Atlantic; Pacific; Holocene</t>
  </si>
  <si>
    <t>GENERAL-CIRCULATION MODEL; SANTA-BARBARA BASIN; SEA-ICE; ATMOSPHERIC CIRCULATION; NORTH-ATLANTIC; THERMOHALINE CIRCULATION; SOUTHERN-OCEAN; CLIMATE-CHANGE; VARIABILITY; PENINSULA</t>
  </si>
  <si>
    <t>A continuous, C-14 dated palaeoenvironmental (4000-year) proxy from the Antarctic Peninsula glacial marine record demonstrates pronounced cycles of elevated palaeoproductivity (warm events) that recur every similar to 200 years. Superimposed upon this are longer-term reductions in palaeoproductivity (cooling events) that correspond with the 'Little Ice Age' and an event at similar to 2500 radiocarbon years BP. Comparison of the Antarctic marine record with that obtained from the GISP2 ice-core record (Greenland Ice Sheet) demonstrates some agreement at both millennial and multicentury frequencies. We correlate a pronounced 'Little Ice Age' event and six warm intervals within the preceding 2000 years. Before this time the correlation is less coherent, in part, because of diagenetic changes in the marine sediment core and uncertainty in correcting radiocarbon ages from Antarctica. Correct phasing of the events hinges on a calibration fur Antarctic radiocarbon ages. These data illustrate a common linkage between palaeoclimate for the North Atlantic and maritime (Pacific) Antarctic during the late Holocene and suggest that linkages between the two systems may he brst examined by a Focus on the Drake Passage and associated marginal basins.</t>
  </si>
  <si>
    <t>Hamilton Coll, Dept Geol, Clinton, NY 13323 USA; Univ New Hampshire, Climate Change Res Ctr, Durham, NH 03824 USA</t>
  </si>
  <si>
    <t>Hamilton College; University System Of New Hampshire; University of New Hampshire</t>
  </si>
  <si>
    <t>10.1191/095968399675385468</t>
  </si>
  <si>
    <t>184FD</t>
  </si>
  <si>
    <t>WOS:000079599000013</t>
  </si>
  <si>
    <t>Boegh, J; Depanfilis, S; Kitchenham, B; Pasquini, A</t>
  </si>
  <si>
    <t>A method for software quality planning, control, and evaluation</t>
  </si>
  <si>
    <t>Squid, short for Software Quality in Development, is a method and a tool for quality assurance and control. It allows a software development organization to use measurement to plan and control product quality during development, evaluate final product quality, and improve its software development process. The method and tool have been applied in a real software development project, Telescience, which aims to automate a scientific station in Antarctica to permit remote monitoring and control of scientific experiments during the Antarctic winter.</t>
  </si>
  <si>
    <t>ENEA, Robot &amp; Informat Technol Div, I-00060 Rome, Italy; Keele Univ, Keele, Staffs, England</t>
  </si>
  <si>
    <t>Italian National Agency New Technical Energy &amp; Sustainable Economics Development; Keele University</t>
  </si>
  <si>
    <t>Pasquini, A (corresponding author), ENEA, Robot &amp; Informat Technol Div, SP 088,Via Anguillarese 301, I-00060 Rome, Italy.</t>
  </si>
  <si>
    <t>Kitchenham, Barbara/AAL-4311-2020</t>
  </si>
  <si>
    <t>Kitchenham, Barbara/0000-0002-6134-8460</t>
  </si>
  <si>
    <t>10.1109/52.754056</t>
  </si>
  <si>
    <t>177EZ</t>
  </si>
  <si>
    <t>WOS:000079198700021</t>
  </si>
  <si>
    <t>Lavrenov, IV; Osampo-Torres, FJ</t>
  </si>
  <si>
    <t>Angular distribution effect on weakly nonlinear energy transfer in the spectrum of wind waves</t>
  </si>
  <si>
    <t>SURFACE GRAVITY-WAVES</t>
  </si>
  <si>
    <t>The effect of angular distribution on weakly nonlinear energy transfer in the spectrum of wind waves is studied, By using the numerical integration techniques of the highest accuracy, reliable results concerning a weakly nonlinear energy transfer are obtained for the most representative approximations of wind wave spectra. It is shown that a weakly nonlinear energy transfer is different from zero in a wide frequency-angle region. Calculation results point to the existence of weakly nonlinear energy transfer to the spectral components traveling in opposition to the wind direction, The theoretical studies provide an explanation for the measured wind-wave spectrum containing spectral components traveling in opposition to the wind.</t>
  </si>
  <si>
    <t>Arctic &amp; Antarctic Res Inst, St Petersburg 199397, Russia; Ctr Res Higher Sci Training, Phys Oceanog Div, Ensenada, Baja California, Mexico</t>
  </si>
  <si>
    <t>199CQ</t>
  </si>
  <si>
    <t>WOS:000080462100012</t>
  </si>
  <si>
    <t>Pomeroy, PP; Fedak, MA; Rothery, P; Anderson, S</t>
  </si>
  <si>
    <t>Consequences of maternal size for reproductive expenditure and pupping success of grey seals at North Rona, Scotland</t>
  </si>
  <si>
    <t>breeding success; maternal expenditure; reproduction; life histories; seals</t>
  </si>
  <si>
    <t>SOUTHERN ELEPHANT SEALS; ANTARCTIC FUR SEALS; DEER CERVUS-ELAPHUS; HALICHOERUS-GRYPUS; RED DEER; GRAY SEAL; POPULATION-DYNAMICS; BREEDING EXPERIENCE; JUVENILE SURVIVAL; BIGHORN SHEEP</t>
  </si>
  <si>
    <t>1. The reproductive performance of individually marked mothers aged between 4 and 36 years breeding at the established grey seal colony of North Rona, Scotland was studied. Natality rate was between 0.805 and 0.975 for these females during 1979-95 and 57% of females produced 74% of the pups born. Mothers pupped successfully on N. Rona after absences of up to 5 years. 2. The average maternal postpartum mass (MPPM) of mothers was 190 +/- 23 (SD) kg. larger than had been recorded from this colony previously. Although annual mean MPPM increased during the study, there were increases and decreases in individuals MPPM between years. 3. Pup mass at birth and pup growth rare were related to MPPM and date of parturition. No evidence of differential postpartum expenditure in the sexes was found. Relative pup birth mass decreased with MPPM but relative pup weaning mass remained constant over the range of MPPM. 4. Maternal mass expenditure during lactation averaged 39% of MPPM, and the consequences for MPPM in the year following either high or low relative expenditure were inversely related to relative expenditure in the first year. However, mothers increased their mass after skipping breeding in a year. 5. General Linear Models and REML analyses indicated that expenditures were significantly different between mothers when other variables and Factors had been taken into account. In general, maternal expenditure was greater for animals of larger masses and duration of lactation, but corrected maternal expenditure of longer individuals was less than expected. Pup mass at weaning was influenced by mother's identity and year and there was evidence that individual mothers which were longer for their weight raised smaller pups. 6. The life history consequences of reproductive expenditure in any year appeared in subsequent breeding patterns. The cost of breeding for larger animals and larger expenditures was indicated by lower pupping success rates in years following births and skipped breeding years.</t>
  </si>
  <si>
    <t>Univ St Andrews, Gatty Marine Lab, Sea Mammal Res Unit, St Andrews KY16 8LB, Fife, Scotland; NERC, Inst Terr Ecol, Huntingdon PE17 2LS, Cambs, England; Natl Environm Res Council, Swindon, Wilts, England</t>
  </si>
  <si>
    <t>University of St Andrews; UK Centre for Ecology &amp; Hydrology (UKCEH); UK Research &amp; Innovation (UKRI); Natural Environment Research Council (NERC); UK Research &amp; Innovation (UKRI); Natural Environment Research Council (NERC)</t>
  </si>
  <si>
    <t>Pomeroy, PP (corresponding author), Univ St Andrews, Gatty Marine Lab, Sea Mammal Res Unit, St Andrews KY16 8LB, Fife, Scotland.</t>
  </si>
  <si>
    <t>P.Pomeroy@smru.st-andrews.ac.uk</t>
  </si>
  <si>
    <t>pomeroy, patrick p/C-1597-2010; Fedak, Michael/B-3987-2009</t>
  </si>
  <si>
    <t>Fedak, Michael/0000-0002-9569-1128</t>
  </si>
  <si>
    <t>10.1046/j.1365-2656.1999.00281.x</t>
  </si>
  <si>
    <t>186KX</t>
  </si>
  <si>
    <t>WOS:000079729400002</t>
  </si>
  <si>
    <t>Charles, K; Jones, GOL</t>
  </si>
  <si>
    <t>Mesospheric mean winds and tides observed by the Imaging Doppler Interferometer (IDI) at Halley, Antarctica</t>
  </si>
  <si>
    <t>LOWER THERMOSPHERE REGIONS; ARCTIC MESOSPHERE; SOUTH-POLE; MF RADAR; DYNAMICS; OSCILLATION; MESOPAUSE; MOTIONS; FIELD; WAVES</t>
  </si>
  <si>
    <t>This paper describes the first ever mesospheric wind observations from Halley, Antarctica, over a full year. The recent implementation of an Imaging Doppler Interferometer at Halley is providing a new, high quality and continuous dataset to investigate the dynamics of the Antarctic mesosphere. The mean winds show clear seasonal variations, with reversals in both zonal and meridional components near the equinoxes. The dominant tidal modes have periods of 12 h and 24 h but with significant variations in amplitude during the year. Waves with longer periods are also apparent at certain times of year. The seasonal variations and amplitudes of the winds and tides are compared with other high-latitude sites in the southern and northern hemispheres. It is found that the overall pattern of winds at Halley is broadly similar to that seen at similar geographic latitudes, but with noticeable differences which may be related to it being a southern hemisphere site. (C) 1999 Elsevier Science Ltd. All rights reserved.</t>
  </si>
  <si>
    <t>Jones, GOL (corresponding author), British Antarctic Survey, NERC, Madingley Rd, Cambridge CB3 0ET, England.</t>
  </si>
  <si>
    <t>10.1016/S1364-6826(98)00156-4</t>
  </si>
  <si>
    <t>194AQ</t>
  </si>
  <si>
    <t>WOS:000080170300001</t>
  </si>
  <si>
    <t>Barnes, DKA; Arnold, RJ</t>
  </si>
  <si>
    <t>Possible latitudinal dines in Antarctic intertidal and subtidal zone communities encrusting ephemeral hard substrata</t>
  </si>
  <si>
    <t>latitude; growth; mortality; bryozoans; disturbance; Antarctica</t>
  </si>
  <si>
    <t>SUBLITTORAL EPIFAUNAL COMMUNITIES; ICE-FOOT ZONE; SIGNY ISLAND; FOULING COMMUNITY; NORTH-CAROLINA; COMPETITION; COLONIZATION; DISTURBANCE; STABILITY; BRYOZOAN</t>
  </si>
  <si>
    <t>Aim Encrusting faunal communities on rocks were examined from Southern Ocean intertidal and subtidal (6 m) zones to investigate potential change with latitude. Location The site locations were South Georgia (54 degrees S [sub-Antarctic]), Signy Island (60.5 degrees S [maritime Antarctic]) and Adelaide Island (68 degrees S [high Antarctic]). Methods The number of taxa, degree of colonization and bryozoan growth and mortality were measured. Results The communities present were relatively simple in terms of composition and interactions. Spirorbid polychaetes (Annelida) and cheilostomatid bryozoans were the principal components. The community simplicity and dominance of unitary (compared to colonial) fauna increased with latitude. Mean annual mortality of subtidal cheilostomatids also significantly increased with latitude. The number of bryozoan species and potential aspects of community complexity increased with latitude. The growth of the bryozoan Inversiula nutrix increased with latitude reversing the general trend of decreased growth rate. Conclusions These findings suggest that disturbance may significantly increase with latitude within the Southern Ocean. The apparent reversal of typical latitudinal growth trends is probably a result of classical island biogeography, with species decreasing away from a centre of high diversity.</t>
  </si>
  <si>
    <t>Natl Univ Ireland Univ Coll Cork, Dept Zool &amp; Anim Ecol, Cork, Ireland; British Antarctic Survey, Cambridge CB3 0ET, England</t>
  </si>
  <si>
    <t>University College Cork; UK Research &amp; Innovation (UKRI); Natural Environment Research Council (NERC); NERC British Antarctic Survey</t>
  </si>
  <si>
    <t>10.1046/j.1365-2699.1999.00264.x</t>
  </si>
  <si>
    <t>219QK</t>
  </si>
  <si>
    <t>WOS:000081618000002</t>
  </si>
  <si>
    <t>Hoppema, M; Fahrbach, E; Stoll, MHC; de Baar, HJW</t>
  </si>
  <si>
    <t>Annual uptake of atmospheric CO2 by the Weddell Sea derived from a surface layer balance, including estimations of entrainment and new production</t>
  </si>
  <si>
    <t>Weddell Sea; carbon dioxide; sink; entrainment; new production</t>
  </si>
  <si>
    <t>WINTER MIXED LAYER; SOUTHERN-OCEAN; CARBON-DIOXIDE; ANTARCTIC PENINSULA; DEEP-WATER; REGION; GYRE; OXYGEN; SUMMER</t>
  </si>
  <si>
    <t>Data from two cruises, one in April/May 1996 and one in December/January 1993, covering the same wide area in the offshore Weddell Sea, were used to derive the annual extent of entrainment and the capacity of the biological pump. The former property was obtained with the help of dissolved oxygen data, whereas the latter was approximated with nutrients. Especially the data From April/May, representing the initial state of the winter surface layer, were crucial to assess the annual extent of these processes. The results were applied to our carbon dioxide data. The annual increase of the Total CO2 (TCO2) concentration in the surface layer due to vertical transport amounts to 16.3 mu mol kg(-1). An entrainment rate of deep water in the surface layer amounting to 35 +/- 10 m yr(-1) was deduced. The compensating, biologically mediated TCO2 reduction was calculated to be larger than the TCO2 increase due to vertical transport. Since the balance of these two processes determines whether the Weddell Sea is a source or a sink of CO2, this indicates that the Weddell Sea, albeit upwelling area, is definitely a sink for atmospheric CO2 on an annual basis. This conclusion is further supported by contemplations that the biological drawdown of CO2 in the Weddell Sea as a whole is probably underestimated by our calculations. The new production for the Weddell Sea on a per unit area basis was found to be much higher than that for the Antarctic Ocean, when the latter value is being obtained by traditional biological methods. On the other hand, the CO2 uptake by the Weddell Sea on a per unit area basis is somewhat smaller than the CO2 uptake by the world ocean. (C) 1999 Elsevier Science B.V. All rights reserved.</t>
  </si>
  <si>
    <t>Alfred Wegener Inst Polar &amp; Marine Res, D-27570 Bremerhaven, Germany; Netherlands Inst Sea Res, NL-1790 AB Den Burg, Netherlands</t>
  </si>
  <si>
    <t>Helmholtz Association; Alfred Wegener Institute, Helmholtz Centre for Polar &amp; Marine Research; Utrecht University; Royal Netherlands Institute for Sea Research (NIOZ)</t>
  </si>
  <si>
    <t>Univ Bremen, IUP, Dept Tracer Oceanog, FB 1,POB 330 440, D-28334 Bremen, Germany.</t>
  </si>
  <si>
    <t>hoppema@physik.uni-bremen.de; efahrbach@awi-bremerhaven.de; mstoll@nioz.nl; debaar@nioz.nl</t>
  </si>
  <si>
    <t>1879-1573</t>
  </si>
  <si>
    <t>10.1016/S0924-7963(98)00091-8</t>
  </si>
  <si>
    <t>169HC</t>
  </si>
  <si>
    <t>WOS:000078740800001</t>
  </si>
  <si>
    <t>Cantero, ALP; Vervoort, W</t>
  </si>
  <si>
    <t>Review of the genus Schizotricha Allman, 1883 (Cnidaria, Hydrozoa, Halopterididae)</t>
  </si>
  <si>
    <t>JOURNAL OF NATURAL HISTORY</t>
  </si>
  <si>
    <t>hydroids; systematics; new genus; Antarctic Ocean; Atlantic Ocean; biogeography; ecology</t>
  </si>
  <si>
    <t>A review of the known species of the genus Schizotricha Allman, 1883 has been made. For each species a list of synonyms, a diagnosis, remarks and autecological data are given. The type material of three poorly known species of the genus, Schizotricha dichotoma Nutting, 1900, Plumularia profunda Nutting, 1900, and P, variabilis Bonnevie, 1899, has been re-examined and these species are redescribed and figured; their taxonomic position amongst the other members of the genus is discussed. A general survey of the geographical and bathymetric distribution of the various species is presented, along with a key for the identification of the known species of the genus. On the other hand, Diplopteroides gen. nov, is proposed for the species assigned by Nutting (1900) to Diplopteron Allman, 1874.</t>
  </si>
  <si>
    <t>Univ Valencia, Fac Ciencias Biol, Dept Biol Anim, E-46100 Burjassot, Valencia, Spain; Natl Museum Nat Hist, NL-2300 RA Leiden, Netherlands</t>
  </si>
  <si>
    <t>University of Valencia</t>
  </si>
  <si>
    <t>Cantero, ALP (corresponding author), Univ Valencia, Fac Ciencias Biol, Dept Biol Anim, Dr Moliner 50, E-46100 Burjassot, Valencia, Spain.</t>
  </si>
  <si>
    <t>Cantero, Álvaro Luis Peña/F-7888-2016</t>
  </si>
  <si>
    <t>0022-2933</t>
  </si>
  <si>
    <t>1464-5262</t>
  </si>
  <si>
    <t>J NAT HIST</t>
  </si>
  <si>
    <t>J. Nat. Hist.</t>
  </si>
  <si>
    <t>10.1080/002229399300290</t>
  </si>
  <si>
    <t>Biodiversity Conservation; Ecology; Zoology</t>
  </si>
  <si>
    <t>Biodiversity &amp; Conservation; Environmental Sciences &amp; Ecology; Zoology</t>
  </si>
  <si>
    <t>177FM</t>
  </si>
  <si>
    <t>WOS:000079199900002</t>
  </si>
  <si>
    <t>Hodgson, DA</t>
  </si>
  <si>
    <t>The formation of flocculated clay laminae in the sediments of a meromictic lake</t>
  </si>
  <si>
    <t>JOURNAL OF PALEOLIMNOLOGY</t>
  </si>
  <si>
    <t>clay; flocculation; meromixis; lakes; laminae; Tasmania; Lake Fidler; paleolimnology; estuaries</t>
  </si>
  <si>
    <t>SOUTH-WEST TASMANIA; FIDLER; IMPACT</t>
  </si>
  <si>
    <t>Sediments of Lake Fidler, a meromictic lake in south-west Tasmania, contain distinctive laminae. In order to determine their composition and formation, these laminae were studied using a combination of X-ray analysis, scanning electron microscopy, X-ray diffraction and vibrational spectrometry. Results indicated that the laminae were composed of clay originating from the adjacent Gordon River estuary. The clay was also found as part of the general sediment matrix of the core. The evidence indicates that the laminae are formed during incursions of brackish water from the adjacent Gordon River estuary into Lake Fidler which cause the flocculation of clay minerals in the water column. These clay minerals then sink rapidly to the sediments to form laminae. Although the formation of these laminae pre-dates meromixis, their mode of formation corroborates the theory that meromixis is maintained ectogenically by periodic inflows of brackish water replenishing monimolimnetic salts.</t>
  </si>
  <si>
    <t>Univ Tasmania, Dept Plant Sci, Hobart, Tas 7001, Australia</t>
  </si>
  <si>
    <t>Hodgson, DA (corresponding author), British Antarctic Survey, High Cross,Madingley Rd, Cambridge CB3 0ET, England.</t>
  </si>
  <si>
    <t>0921-2728</t>
  </si>
  <si>
    <t>J PALEOLIMNOL</t>
  </si>
  <si>
    <t>J. Paleolimn.</t>
  </si>
  <si>
    <t>10.1023/A:1008064029510</t>
  </si>
  <si>
    <t>Environmental Sciences; Geosciences, Multidisciplinary; Limnology</t>
  </si>
  <si>
    <t>Environmental Sciences &amp; Ecology; Geology; Marine &amp; Freshwater Biology</t>
  </si>
  <si>
    <t>196BA</t>
  </si>
  <si>
    <t>WOS:000080288100002</t>
  </si>
  <si>
    <t>Best, SE; Ivchenko, VO; Richards, KJ; Smith, RD; Malone, RC</t>
  </si>
  <si>
    <t>Eddies in numerical models of the Antarctic circumpolar current and their influence on the mean flow</t>
  </si>
  <si>
    <t>GENERAL-CIRCULATION MODEL; BETA-PLANE CHANNEL; SOUTHERN-OCEAN; KINETIC-ENERGY; HORIZONTAL RESOLUTION; DRAKE PASSAGE; WIND-DRIVEN; DYNAMICS; INSTABILITIES; BUDGET</t>
  </si>
  <si>
    <t>The dynamics of the Southern Ocean have been studied using two high-resolution models. namely the Pine Resolution Antarctic Model (FRAM) and the Parallel Ocean Program (POP) model. Analysis of these models includes zonal averaging at Drake Passage latitudes, averaging along streamlines (or contours of constant sea surface height), and examining particular subregions of the flow in some detail. The subregions considered in the local analysis capture different how regimes in the vicinity of thr Crozet Plateau. the Macquarie-Ridge Complex, and Drake Passage. Many aspects of the model results are similar, for example. the magnitude of eddy kinetic energy (EKE) in the eddy rich regions associated with the large-scale topography. An important difference between the two models is that away from the strong topographic features the level of EKE in POP is 2-4 times greater than in FRAM, giving values close to those observed in altimeter studies. In both FRAM and POP instability analysis performed over ACC jets showed that baroclinic instability is likely to be the main mechanism responsible for generating EKE. In the case of FRAM this view is confirmed by regional energy budgets made within the ACC. In contrast to quasigeostrophic numerical experiments upgradient transfer of momentum was not found in the whole ACC, or over large subregions of the Southern Ocean. The only place it occurred was in localized right jets (e.g., the how northeast of Drake Passage) where the transients are found to transfer kinetic energy into energy of the mean flow. The transient eddies result in a net deceleration of the ACC for the streamwise averaging.</t>
  </si>
  <si>
    <t>Univ Southampton, Dept Oceanog, Southampton Oceanog Ctr, Southampton SO14 3ZH, Hants, England; Los Alamos Natl Lab, Los Alamos, NM USA</t>
  </si>
  <si>
    <t>NERC National Oceanography Centre; University of Southampton; United States Department of Energy (DOE); Los Alamos National Laboratory</t>
  </si>
  <si>
    <t>Univ Southampton, Dept Oceanog, Southampton Oceanog Ctr, European Way, Southampton SO14 3ZH, Hants, England.</t>
  </si>
  <si>
    <t>10.1175/1520-0485(1999)029&lt;0328:EINMOT&gt;2.0.CO;2</t>
  </si>
  <si>
    <t>177TY</t>
  </si>
  <si>
    <t>WOS:000079228200002</t>
  </si>
  <si>
    <t>Holbrook, NJ; Bindoff, NL</t>
  </si>
  <si>
    <t>Seasonal temperature variability in the upper southwest Pacific Ocean</t>
  </si>
  <si>
    <t>EAST AUSTRALIAN CURRENT; WARM-CORE RING; MEAN SEA-LEVEL; TROPICAL PACIFIC; TASMAN FRONT; ROSSBY WAVES; WORLD OCEAN; CIRCULATION; SURFACE; FLOW</t>
  </si>
  <si>
    <t>Climatological monthly upper-ocean temperature anomalies from the annual mean in the subtropical southwest Pacific Ocean show a characteristic out-of-phase relationship between the mixed layer and the underlying water. The mixed layer temperature anomalies in the subtropical gyre and midlatitudes are consistent in the spatial distribution and phase expected from solar radiation. However, below the mixed layer, the temperature anomalies between 10 degrees S and 30 degrees S are coherent throughout the water column to 450-m depth and are almost 180 degrees out of phase with the: mixed layer temperatures. This pattern of temperature anomalies describes vertical movements of the thermocline more closely linked to the seasonal variations in the wind stress curl. To test this hypothesis, a one-dimensional linear vorticity model was forced using the Hellerman and Rosenstein monthly wind stresses across the entire width of the South Pacific Ocean. This simple wind-driven model has considerable skill in predicting the gyre-scale pattern of change in the phase and amplitude associated with thermocline variations in the subtropical gyre. Experiments, varying the Rossby wave speed, showed that a better representation is achieved with speeds of 2 to 2.5 times that observed from altimeter observations. Overall, the inclusion of long Rossby waves appears to be a very important contribution to the amplitude of the thermocline depth variations in the southwest Pacific. Furthermore, this important Rossby wave contribution is supported by the large-scale anomaly patterns obtained from more sophisticated three-dimensional dynamical ocean models.</t>
  </si>
  <si>
    <t>Macquarie Univ, Sch Earth Sci, N Ryde, NSW 2109, Australia; Univ Tasmania, Antarctic CRC, Hobart, Tas, Australia</t>
  </si>
  <si>
    <t>Macquarie University; University of Tasmania</t>
  </si>
  <si>
    <t>Holbrook, NJ (corresponding author), Macquarie Univ, Sch Earth Sci, N Ryde, NSW 2109, Australia.</t>
  </si>
  <si>
    <t>Bindoff, Nathaniel Lee/IVV-0333-2023; Bindoff, Nathaniel Lee/C-8050-2011; Holbrook, Neil/M-7544-2013</t>
  </si>
  <si>
    <t>Bindoff, Nathaniel Lee/0000-0001-5662-9519; Bindoff, Nathaniel Lee/0000-0001-5662-9519; Holbrook, Neil/0000-0002-3523-6254</t>
  </si>
  <si>
    <t>10.1175/1520-0485(1999)029&lt;0366:STVITU&gt;2.0.CO;2</t>
  </si>
  <si>
    <t>WOS:000079228200004</t>
  </si>
  <si>
    <t>Klinger, BA; Marotzke, J</t>
  </si>
  <si>
    <t>Behavior of double-hemisphere thermohaline flows in a single basin</t>
  </si>
  <si>
    <t>GENERAL-CIRCULATION MODELS; GLOBAL OCEAN CIRCULATION; MESOSCALE TRACER TRANSPORTS; MIXED BOUNDARY-CONDITIONS; SCALE WATER MASSES; MULTIPLE EQUILIBRIA; PARAMETER SENSITIVITY; FRESH-WATER; DEEP-WATER; THERMOSOLUTAL CONVECTION</t>
  </si>
  <si>
    <t>A coarse resolution, three-dimensional numerical model is used to study how external parameters control the existence and strength of equatorially asymmetric thermohaline overturning in a large-scale, rotating ocean basin. Initially, the meridional surface density gradient is directly set to be larger in a dominant hemisphere than in a subordinate hemisphere. The two-hemisphere system has a broader thermocline and weaker upwelling than the same model with the dominant hemisphere only. This behavior is in accord with classical scaling arguments, providing that the continuity equation is employed, rather than the linear vorticity equation. The dominant overturning cell, analogous to North Atlantic Deep Water formation, is primarily controlled by the surface density contrast in the dominant hemisphere, which in turn is largely set by temperature. Consequently, in experiments with mixed boundary conditions, the dominant cell strength is relatively insensitive to the magnitude Q(s) of the salinity forcing. However, a, strongly influences subordinate hemisphere properties, including the volume transport of a shallow overturning cell and the meridional extent of a tongue of low-salinity intermediate water reminiscent of Antarctic Intermediate Water. The minimum Q(s) is identified for which the steady, asymmetric how is stable; below this value, a steady, equatorially symmetric, temperature-dominated overturning occurs. For high salt flux, the asymmetric circulation becomes oscillatory and eventually gives way to an unsteady, symmetric, salt-dominated overturning. For given boundary conditions, it is possible to have at least three different asymmetric states, with significantly different large-scale properties. An expression for the meridional salt transport allows one to roughly predict the surface salinity and density profile and stability of the asymmetric state as a function of Q(s) and other external parameters.</t>
  </si>
  <si>
    <t>Nova SE Univ, Oceanog Ctr, Dania Beach, FL 33004 USA; MIT, Ctr Global Change Sci, Cambridge, England</t>
  </si>
  <si>
    <t>Nova Southeastern University</t>
  </si>
  <si>
    <t>Klinger, BA (corresponding author), Nova SE Univ, Oceanog Ctr, 800 N Ocean Dr, Dania Beach, FL 33004 USA.</t>
  </si>
  <si>
    <t>10.1175/1520-0485(1999)029&lt;0382:BODHTF&gt;2.0.CO;2</t>
  </si>
  <si>
    <t>WOS:000079228200005</t>
  </si>
  <si>
    <t>Bradford-Grieve, JM; Boyd, PW; Chang, FH; Chiswell, S; Hadfield, M; Hall, JA; James, MR; Nodder, SD; Shushkina, EA</t>
  </si>
  <si>
    <t>Pelagic ecosystem structure and functioning in the Subtropical Front region east of New Zealand in austral winter and spring 1993</t>
  </si>
  <si>
    <t>SUB-ARCTIC PACIFIC; ZONE COLOR SCANNER; PHYTOPLANKTON GROWTH; SOUTHERN-OCEAN; WATER MASSES; MARINE-PHYTOPLANKTON; COMMUNITY STRUCTURE; EQUATORIAL PACIFIC; ANTARCTIC COPEPOD; NEOCALANUS-TONSUS</t>
  </si>
  <si>
    <t>Data are synthesized on biomass and fluxes of components of the pelagic food web, downward particulate flux, and associated physical and chemical oceanographic parameters in austral winter and spring in the Subtropical Front (STF) region east of New Zealand. All four food web types (sensu Legendre and Rassoulzadegan, Ophelia, 41, 153-172, 1995) are represented in this region. The STF food web is classified as 'multivorous' in spring and 'herbivorous'/'multivorous' in winter, even though grazing was dominated by microzooplankton. Based on relatively few data over each season, STF community biomass was dominated by large phytoplankton cells (&gt;20 mu m) in both seasons. Postbloom conditions were sampled in spring and highest fucoxanthin vertical fluxes were recorded at this time. A phytoplankton sedimentation event may have occurred just after our mid-October sampling. Subtropical (ST) waters exhibited pronounced seasonality in all plankton compartments. The ST food web is classified as 'multivorous' in both winter and spring. Organic flux in sediment traps was highest in ST water relative to subantarctic (SA) and STF waters. Although the ST data coverage was limited, high spring algal specific growth rates, the large change in total community biomass between winter and spring, and small seasonal differences in early winter and spring macronutrient concentrations suggest that the structure and functioning of this ecosystem depended on the macronutrients entrained during deep winter mixing. Algal populations in SA high-nitrate-low-chlorophyll waters (HNLC) were dominated by small cells. Heterotrophic bacteria dominated community biomass in SA waters in winter and equalled phytoplankton biomass in spring. In contrast to Legendre and Rassoulzadegan's classification of the subarctic Pacific HNLC food web as 'multivorous', the SA food web is classified as 'microbial' tending towards 'microbial loop' in winter (i.e. there was greater carbon uptake by bacteria than phytoplankton) and 'microbial' in spring. Chlorophyll (Chl) a levels in spring were similar to those in winter, but because of a doubling of the C:Chl ratio, algal biomass (as carbon) was 2-fold higher in SA waters in spring, compared with winter. This seasonal increase in algal carbon biomass in spring occurred in spite of a &gt;5-fold increase from winter to spring in microzooplankton biomass, challenging the notion of grazer control of algal biomass. Our findings are compared with Russian data collected in the South Pacific STF region in summer 1985. Aspects of ecosystem functioning in the STF region east of New Zealand may hold for other longitudes in the Southern Ocean, although it is likely that some characteristics are regional in nature.</t>
  </si>
  <si>
    <t>Natl Inst Water &amp; Atmospher Res, Wellington, New Zealand; Univ Otago, Dept Chem, NIWA, Ctr Chem &amp; Phys Oceanog, Dunedin, New Zealand; Russian Acad Sci, Shirshov Inst Oceanol, Moscow 117218, Russia</t>
  </si>
  <si>
    <t>National Institute of Water &amp; Atmospheric Research (NIWA) - New Zealand; University of Otago; Russian Academy of Sciences; Shirshov Institute of Oceanology</t>
  </si>
  <si>
    <t>Bradford-Grieve, JM (corresponding author), Natl Inst Water &amp; Atmospher Res, POB 14901, Wellington, New Zealand.</t>
  </si>
  <si>
    <t>; Boyd, Philip/J-7624-2014</t>
  </si>
  <si>
    <t>Bradford-Grieve, Janet/0000-0002-3580-1217; Chiswell, Stephen/0000-0002-5957-3706; Boyd, Philip/0000-0001-7850-1911</t>
  </si>
  <si>
    <t>10.1093/plankt/21.3.405</t>
  </si>
  <si>
    <t>177KJ</t>
  </si>
  <si>
    <t>WOS:000079208900001</t>
  </si>
  <si>
    <t>Cadée, GC</t>
  </si>
  <si>
    <t>Shell damage and shell repair in the Antarctic limpet Nacella concinna from King George Island</t>
  </si>
  <si>
    <t>JOURNAL OF SEA RESEARCH</t>
  </si>
  <si>
    <t>Antarctica; gastropods; predation; shell repair; shell fragmentation</t>
  </si>
  <si>
    <t>SOUTH-SHETLAND; STREBEL; GROWTH; MORPHOLOGY</t>
  </si>
  <si>
    <t>Nacella concinna is the most conspicuous macroinvertebrate in the intertidal of King George Island. An important predator, the Kelp gull Larus dominicanus, feeds on Nacella during spring row tides. The gulls deposit empty Nacella shells as regurgitates mainly on roosts on coastal rocks. The regurgitates were found to consist of 40% shell fragments by weight and 60% intact shells. Faeces of Kelp gulls contained much smaller fragments than the regurgitates. Some of the Nacella, particularly those too large to ingest, are handled in the intertidal. The middens are, therefore, inadequate to study size selection by Kelp gulls: the largest Nacella are underrepresented. Seventy-five per cent of the intact Nacella shells from the Larus middens showed one or more shell repairs. Such repairs may be due to unsuccessful attacks by gulls, but more probably they indicate damage caused by rolling ice blocks and stones in the intertidal and shallow subtidal. A number of living Nacella were found stranded on the beach, detached from the rocks. They showed damage along the shell margin and even one Nacella was collected without any shell left. The observed repair frequency of 75% in Nacella was much higher than in other (smaller) intertidal gastropods at Potter Peninsula (3-11%, av. 8%). Comparably high frequencies are observed for instance in tropical intertidal gastropods, where repair is due to heavy unsuccessful crab predation; however, shell-crushing crabs are absent on King George Island. This indicates that palaeontologists should be cautious in ascribing all shell repairs in fossil shells (particularly from tidal environments) to predators. Shell repair in the related Nacella deaurata, collected in a less exposed site at Port Stanley(Falkland Islands), occurred only in 13% of the specimens. Another conspicuous form of shell damage was due to grazing by Nacella on the boring algae living in other Nacella shells. Epigrowth of crustose calcareous algae inhibited such grazing, but in the absence of epigrowth deep hollows were scraped in the shells, the parallel scratches by the radula clearly visible, urging Nacella to repair its shell by producing more shelly material on the inside. (C) 1999 Elsevier Science B.V. All rights reserved.</t>
  </si>
  <si>
    <t>Netherlands Inst Sea Res, NL-1790 AB Den Burg, Texel, Netherlands</t>
  </si>
  <si>
    <t>Cadée, GC (corresponding author), Netherlands Inst Sea Res, POB 59, NL-1790 AB Den Burg, Texel, Netherlands.</t>
  </si>
  <si>
    <t>cadee@nioz.nl</t>
  </si>
  <si>
    <t>1385-1101</t>
  </si>
  <si>
    <t>J SEA RES</t>
  </si>
  <si>
    <t>J. Sea Res.</t>
  </si>
  <si>
    <t>10.1016/S1385-1101(98)00042-2</t>
  </si>
  <si>
    <t>180CL</t>
  </si>
  <si>
    <t>WOS:000079367500013</t>
  </si>
  <si>
    <t>Speake, BK; Decrock, F; Surai, PF; Groscolas, R</t>
  </si>
  <si>
    <t>Fatty acid composition of the adipose tissue and yolk lipids of a bird with a marine-based diet, the emperor penguin (Aptenodytes forsteri)</t>
  </si>
  <si>
    <t>CHICK-EMBRYO; SELECTIVE MOBILIZATION; DIFFERENTIAL MOBILIZATION; DOCOSAHEXAENOIC ACID; MENHADEN OIL; BRAIN; EGGS; N-3; TRIACYLGLYCEROLS; PATAGONICUS</t>
  </si>
  <si>
    <t>The emperor penguin (Aptenodytes forsteri) is an Antarctic seabird feeding mainly on fish and therefore has a high dietary intake of n-3 polyunsaturated fatty acids. The yolk is accumulated in the developing oocyte while the females are fasting, and a large proportion of the fatty acid components of the yolk lipids are derived by mobilization from the female's adipose tissue. The fatty acid composition of the total lipid of the yolk was characterized by high levels of n-3 polyunsaturated fatty acids. However, it differed in several respects from that of the maternal adipose tissue. For example, the proportions of 14:0, 1 6:1n-7, 20:1n-9, 22:1n-9, 20:5n-3, and 22:6n-3 were significantly greater in adipose tissue than in yolk. Thus adipose tissue lipids contained 7.6 +/- 0.3% and 8.0 +/- 0.3% (wt% of total fatty acids; mean +/- SE; n = 5) of 20:5n-3 and 22:6n-3, respectively, whereas the yolk total lipid contained 1.6 +/- 0.1 and 5.5 +/- 0.3% of these respective fatty acids. The proportions of 16:0, 18:0, 18:1n-9, 18:2n-6, and 20:4n-6 were significantly lower in the adipose tissue than in the yolk lipids. The proportions of triacylglycerol, phospholipid, free cholesterol, and cholesteryl ester in the yolk lipid were, respectively, 67.0 +/- 0.2, 25.4 +/- 0.3, 5.3 +/- 0.2, and 1.8 +/- 0.2% (wt% of total yolk lipid). The proportions of 20:4n-6, 20:5n-3, 22:5n-3, and 22:6n-3 were, respectively, 5.7 +/- 0.3, 2.8 +/- 0.2, 1.4 +/- 0.1, and 11.7 +/- 0.5% in phospholipid and 0.4 +/- 0.0, 1.2 +/- 0.1, 0.8 +/- 0.1 and 3.6 +/- 0.3% in triacylglycerol. About 95% of the total vitamin E in the yolks was in the form of alpha-tocopherol with gamma-tocopherol forming the remainder. Two species of carotenoids, one identified as lutein, were present.</t>
  </si>
  <si>
    <t>Scottish Agr Coll, Dept Biochem &amp; Nutr, Auchincruive KA6 5HW, Ayr, Scotland; CNRS, Ctr Ecol &amp; Physiol Energet, F-67087 Strasbourg, France</t>
  </si>
  <si>
    <t>Scottish Agricultural College; Universites de Strasbourg Etablissements Associes; Universite de Strasbourg; Centre National de la Recherche Scientifique (CNRS)</t>
  </si>
  <si>
    <t>Scottish Agr Coll, Dept Biochem &amp; Nutr, Auchincruive KA6 5HW, Ayr, Scotland.</t>
  </si>
  <si>
    <t>b.speake@au.sac.ac.uk</t>
  </si>
  <si>
    <t>Surai, Peter/T-6183-2019</t>
  </si>
  <si>
    <t>Surai, Peter/0000-0002-5012-8681</t>
  </si>
  <si>
    <t>1558-9307</t>
  </si>
  <si>
    <t>10.1007/s11745-999-0365-9</t>
  </si>
  <si>
    <t>183EN</t>
  </si>
  <si>
    <t>WOS:000079541200009</t>
  </si>
  <si>
    <t>Cuzin-Roudy, J; Buchholz, F</t>
  </si>
  <si>
    <t>Ovarian development and spawning in relation to the moult cycle in Northern krill, Meganyctiphanes norvegica (Crustacea: Euphausiacea), along a climatic gradient</t>
  </si>
  <si>
    <t>M EDW CRUSTACEA; ANTARCTIC KRILL; SUPERBA DANA; MOLT CYCLE; GROWTH; REPRODUCTION; MYSIDACEA; ZOOPLANKTON; POPULATION; KATTEGAT</t>
  </si>
  <si>
    <t>Adaptive processes linked to reproduction were studied comparatively for three populations of Northern krill, Meganyctiphanes norvegica (M. Sars, 1857), sampled during winter and summer cruises in the Clyde Sea (W Scotland), the Kattegat (E Denmark), and the Ligurian Sea (NW Mediterranean). The aim was to investigate the functional relationship between egg production and moulting under contrasted climatic and environmental conditions. A staging system for female sexual development established for live krill was complemented by a histological study of the ovary at various developmental steps. During the reproductive season, all adult female krill were engaged in cyclical egg production. During experiments, female krill released one batch of mature oocytes in one or two spawning events. The ovary of postspawn female krill still contained developing oocytes for another egg batch. In the non-reproductive period, all female krill had a resting ovary. Ovarian structure and pattern of egg production were identical in the three populations, but seasonal timing of egg production was different. The model proposed for the Ligurian population of the annual cycle of ovarian development can be extended to the other two populations, taking into account the seasonal characteristics of each site. Random field samples were staged simultaneously for moult cycle and for sexual development. Moult stages and the seasonal variation of the intermoult period were studied for the Kattegat population using multi-year data and compared to data obtained during summer/winter cruises in the Clyde and the Ligurian Sea. At the three sites, intermoult period was shorter and temperature-dependent during the reproductive period, concurrent with the season of greatest food availability. During most of the year and the period of sexual rest, moulting activity was reduced. The relationship between spawning and the moult cycle was studied comparatively for the three populations. Eggs were released during the premoult phase of a spawning moult cycle, in one or two spawnings associated with apolysis and Moult Stage D1, respectively. Yolk accumulation for the next egg batch was completed during an alternating vitellogenic moult cycle. A model for the timing of cyclical egg production in relation to moulting, as proposed for the Kattegat, can be extended to the other populations, taking into account intermoult period variation with temperature. Temperature appeared to be the principal environmental factor controlling growth (through moulting) and egg production during the reproductive season, in connection with favourable trophic conditions.</t>
  </si>
  <si>
    <t>UPMC, CNRS, INSU,LOBEPM Oceanog Biochim &amp; Ecol, Observ Oceanol, F-06230 Villefranche Sur Mer, France; Biol Anstalt Helgoland AWI, Marine Stn, Marine Zool, D-27483 Helgoland, Germany</t>
  </si>
  <si>
    <t>Centre National de la Recherche Scientifique (CNRS); CNRS - National Institute for Earth Sciences &amp; Astronomy (INSU); Sorbonne Universite; Helmholtz Association; Alfred Wegener Institute, Helmholtz Centre for Polar &amp; Marine Research</t>
  </si>
  <si>
    <t>Cuzin-Roudy, J (corresponding author), UPMC, CNRS, INSU,LOBEPM Oceanog Biochim &amp; Ecol, Observ Oceanol, BP 28, F-06230 Villefranche Sur Mer, France.</t>
  </si>
  <si>
    <t>10.1007/s002270050466</t>
  </si>
  <si>
    <t>178ML</t>
  </si>
  <si>
    <t>WOS:000079269700011</t>
  </si>
  <si>
    <t>Rumsey, SM; Franks, PJS</t>
  </si>
  <si>
    <t>Influence of variability in larval development on recruitment success in the euphausiid Euphausia pacifica:: elasticity and sensitivity analyses</t>
  </si>
  <si>
    <t>SUPPLY-SIDE ECOLOGY; ANTARCTIC KRILL; CALIFORNIA CURRENT; HATCHING SUCCESS; YELLOW SEA; SUPERBA; TEMPERATURE; GROWTH; ZOOPLANKTON; ENERGETICS</t>
  </si>
  <si>
    <t>Simple life-history models were employed to identify those larval stages of Euphausia pacifica (Hansen) with the greatest potential contribution to variability in recruitment success. Using stage-specific vital parameters (i.e. stage duration and specific mortality) the models explored the influence of developmental variability without ascribing the variability to any particular cause or forcing. Through such a non-mechanistic modelling approach, the critical periods in larval development were determined. The results led to inferences about larval population responses to temperature/food heterogeneity in the natural environment. Peaks in recruitment-success elasticity were evident for variability imposed during the egg and Furcilia I and II stages. The high elasticity of the egg stage suggested the importance of female nutrition and the timing and location of egg release in determining their viability and subsequent recruitment success. Peak elasticity during the Furcilia I and II stages supported the notion that indirect developmental pathways of pleopod development during these stages may be associated with diminished recruitment success. Sensitivity analyses further highlighted the influence of these early furcilia stages in determining recruitment success, and also suggested the importance of the Furcilia III and VII stages. The robustness of elasticity and sensitivity results with respect to the life-history structure utilized is discussed. A criterion is presented for the identification of life-history structures which might obscure the true elasticity relationships of a developmental sequence.</t>
  </si>
  <si>
    <t>Rumsey, SM (corresponding author), Univ Calif San Diego, Scripps Inst Oceanog, La Jolla, CA 92093 USA.</t>
  </si>
  <si>
    <t>srumsey@ucsd.edu</t>
  </si>
  <si>
    <t>10.1007/s002270050467</t>
  </si>
  <si>
    <t>WOS:000079269700012</t>
  </si>
  <si>
    <t>Welten, KC</t>
  </si>
  <si>
    <t>Concentrations of siderophile elements in nonmagnetic fractions of Antarctic H- and L-chondrites: A quantitative approach on weathering effects</t>
  </si>
  <si>
    <t>NATURAL THERMOLUMINESCENCE; METEORITE COLLECTION; SITES</t>
  </si>
  <si>
    <t>The nonmagnetic separates of Antarctic H- and L-chondrite finds from the Lewis Cliff stranding area are enriched in Fe and siderophile elements such as Ni, Co, Cu, As, Ir, and Au, relative to those of non-Antarctic falls. The siderophile enrichments are caused by the oxidation of metallic Fe-Ni to nonmagnetic hydrous Fe-Ni oxides. The concentrations of Fe, Ni, and Co in each sample were used to calculate the amount of oxidized metal, which serves as a quantitative measure of the degree of weathering. The amount of oxidized metal is generally between 1-10 wt% and shows a rough correlation with the qualitative A-B-C-weathering classification for increasing rustiness. No clear correlation was found between weathering and terrestrial age, although meteorites older than 0.2 Ma contain on the average similar to 50% more oxidized metal. Also, no correlation was found between the degree of weathering and the natural thermoluminescence (TL) level, which is dominated by the thermal history in space rather than by the thermal history in or on the Antarctic ice. The only significant parameter for the degree of weathering seems to be the location of find, with the most weathered specimens being found in a part of the stranding area where melt-water ponds are known to occur. This observation confirms that the occasional presence of liquid water plays an important role in the Antarctic weathering process and explains the poor correlation of the degree of weathering of Antarctic meteorites with terrestrial age and surface exposure age.</t>
  </si>
  <si>
    <t>NASA, Lyndon B Johnson Space Ctr, Houston, TX 77058 USA</t>
  </si>
  <si>
    <t>National Aeronautics &amp; Space Administration (NASA); NASA Johnson Space Center</t>
  </si>
  <si>
    <t>Welten, KC (corresponding author), Univ Calif Berkeley, Space Sci Lab, Berkeley, CA 94720 USA.</t>
  </si>
  <si>
    <t>Welten, Kees/0000-0001-8577-6753</t>
  </si>
  <si>
    <t>10.1111/j.1945-5100.1999.tb01750.x</t>
  </si>
  <si>
    <t>180LM</t>
  </si>
  <si>
    <t>WOS:000079387500009</t>
  </si>
  <si>
    <t>Carter, JA</t>
  </si>
  <si>
    <t>Late Devonian, Permian and Triassic phytoliths from Antarctica</t>
  </si>
  <si>
    <t>MICROPALEONTOLOGY</t>
  </si>
  <si>
    <t>This paper documents the discovery of phytoliths (siliceous plant fossils) from late Devonian, Permian and Triassic Beacon Supergroup strata at Mts. Crean and Feather in the Transantarctic Mountains, Antarctica. The five phytolith forms documented here are among the oldest phytoliths reported to date. The period when these phytoliths were deposited represents the time when Gondwanan land plants were evolving into present day vegetation patterns. The phytoliths identified in this study have the potential to trace Beacon Supergroup sediments and also to provide phytogeographical information documenting plant taxa that once grew on the Antarctic craton.</t>
  </si>
  <si>
    <t>Victoria Univ Wellington, Sch Earth Sci, Wellington, New Zealand</t>
  </si>
  <si>
    <t>Victoria University Wellington</t>
  </si>
  <si>
    <t>Carter, JA (corresponding author), Victoria Univ Wellington, Sch Earth Sci, POB 600, Wellington, New Zealand.</t>
  </si>
  <si>
    <t>MICROPALEONTOLOGY PRESS</t>
  </si>
  <si>
    <t>256 FIFTH AVE, NEW YORK, NY 10001 USA</t>
  </si>
  <si>
    <t>0026-2803</t>
  </si>
  <si>
    <t>Micropaleontology</t>
  </si>
  <si>
    <t>SPR</t>
  </si>
  <si>
    <t>10.2307/1486202</t>
  </si>
  <si>
    <t>196PB</t>
  </si>
  <si>
    <t>WOS:000080315800002</t>
  </si>
  <si>
    <t>Chambers, SM; Williams, PG; Seppelt, RD; Cairney, JWG</t>
  </si>
  <si>
    <t>Molecular identification of Hymenoscyphus sp. From rhizoids of the leafy liverwort Cephaloziella exiliflora in Australia and Antarctica</t>
  </si>
  <si>
    <t>MYCOLOGICAL RESEARCH</t>
  </si>
  <si>
    <t>ERICOID MYCORRHIZA; ASCOMYCETE ASSOCIATIONS; RIBOSOMAL DNA; ENDOPHYTES; VACCINIUM; FUNGI; SPECIFICITY; ERICACEAE; HEPATICS; ALPINE</t>
  </si>
  <si>
    <t>Fungi isolated from the leafy liverwort Cephaloziella exiliflrora collected in Australia and continental Antarctica were compared with Hymenoscyphus ericae using internal transcribed spacer (ITS) region DNA sequences. The isolates displayed &lt; 2.1% sequence divergence within the ITS region, indicating that the endophytes from C. exiliflora are probably H. ericae. The data significantly extend the known host range and geographical distribution of H. ericae and indicate that the fungus has a global distribution.</t>
  </si>
  <si>
    <t>Univ Western Sydney Nepean, Sch Sci, Mycorrhiza Res Grp, Kingswood, NSW 2747, Australia; Univ New S Wales, Sch Biol Sci, Sydney, NSW 2052, Australia; Antarctic Div, Kingston, Tas 7050, Australia</t>
  </si>
  <si>
    <t>Western Sydney University; University of New South Wales Sydney; Australian Antarctic Division</t>
  </si>
  <si>
    <t>Chambers, SM (corresponding author), Univ Western Sydney Nepean, Sch Sci, Mycorrhiza Res Grp, POB 10, Kingswood, NSW 2747, Australia.</t>
  </si>
  <si>
    <t>0953-7562</t>
  </si>
  <si>
    <t>MYCOL RES</t>
  </si>
  <si>
    <t>Mycol. Res.</t>
  </si>
  <si>
    <t>10.1017/S0953756298007217</t>
  </si>
  <si>
    <t>Mycology</t>
  </si>
  <si>
    <t>185DB</t>
  </si>
  <si>
    <t>WOS:000079651900005</t>
  </si>
  <si>
    <t>Naraoka, H; Shimoyama, A; Harada, K</t>
  </si>
  <si>
    <t>Molecular distribution of monocarboxylic acids in Asuka carbonaceous chondrites from Antarctica</t>
  </si>
  <si>
    <t>ORIGINS OF LIFE AND EVOLUTION OF THE BIOSPHERE</t>
  </si>
  <si>
    <t>ORGANIC-COMPOUNDS; CARBOXYLIC-ACIDS; ISOTOPIC COMPOSITIONS; HYDROCARBONS; METEORITES; ORIGIN</t>
  </si>
  <si>
    <t>Molecular distribution of low-molecular-weight monocarboxylic acids was studied in three CM2 Asuka carbonaceous chondrites (A-881280, A-881334 and A-881358), which were recovered from Antarctica by the 29th Japanese Antarctic Research Expedition in 1988. GC and GC/MS analyses identified more than 30 monocarboxylic acids in A-881458, including aliphatic and aromatic acids with various structural isomers, Isomeric phenolic compounds were also identified. The aliphatic carboxylic acids have straight-chain structures having 2 to 12 carbon atoms (C-2 to C-12), and branched-chain structures (C-4 to C-9). The quantities of straight-chain acids decrease logarithmically with increasing carbon number. At the same carbon number, a straight-chain isomer is always predominant compared to branched-chain isomers, All of the 14 possible C-4, C-5 and C-6 aliphatic monocarboxylic acids (not including optical isomers) have been identified, although all the isomers were not reported in Murchison and Y-791198 meteorites. Of the 17 possible isomeric C-7 acids, at least 14 isomers were tentatively identified by mass spectra (EI and CI mode). At C-8 or above, peaks of branched-chain isomers become obscure, probably due to the large number of isomers and small concentrations. Branched-chain monocarboxylic acids over C-6 have never been reported in Murchison, Although occurrence of aliphatic acids are similar between A-881458 and Murchison at C-4, C-5 and C-6 acids, a major difference is that A-881458 as well as Y-791198 have straight-chain predominance among isomers in contrast to Murchison bring branched-chain predominant. In the case of isomeric aromatic compounds such as toluic acids and cresols, m-toluic acid and p-cresol are more abundant among their isomers, respectively. The molecular distribution may not reflect thermodynamic equilibrium but rather a kinetically controlled process for their formation mechanism. The other two CM2 chondrites (A-881280 and A-881334) were depleted in carboxylic acids in spire of similar carbon contents. The depletion is not due to weathering on ice, because the degrees of weathering are small and similar among the three chondrites. Probably those latter two chondrites may have been subjected to aqueous alteration or metamorphism on their meteorite parent bodies.</t>
  </si>
  <si>
    <t>Univ Tsukuba, Dept Chem, Tsukuba, Ibaraki 305, Japan</t>
  </si>
  <si>
    <t>Naraoka, H (corresponding author), Tokyo Metropolitan Univ, Dept Chem, 1-1 Minami Ohsawa, Hachioji, Tokyo 19203, Japan.</t>
  </si>
  <si>
    <t>Naraoka, Hiroshi/0000-0002-2373-8759</t>
  </si>
  <si>
    <t>0169-6149</t>
  </si>
  <si>
    <t>ORIGINS LIFE EVOL B</t>
  </si>
  <si>
    <t>Orig. Life Evol. Biosph.</t>
  </si>
  <si>
    <t>10.1023/A:1006547127028</t>
  </si>
  <si>
    <t>186QB</t>
  </si>
  <si>
    <t>WOS:000079739500006</t>
  </si>
  <si>
    <t>Martínez, JI; De Deckker, P; Barrows, TT</t>
  </si>
  <si>
    <t>Palaeoceanography of the last glacial maximum in the eastern Indian Ocean:: planktonic foraminiferal evidence</t>
  </si>
  <si>
    <t>Indian Ocean; Western Pacific Warm Pool; last glacial maximum; foraminifera; sea-surface temperature; oxygen isotope</t>
  </si>
  <si>
    <t>SEA-SURFACE TEMPERATURE; PACIFIC WARM POOL; ANTARCTIC INTERMEDIATE WATER; WESTERN PACIFIC; LATE QUATERNARY; LEEUWIN CURRENT; STABLE-ISOTOPE; EL-NINO; CIRCULATION; THERMOSTAT</t>
  </si>
  <si>
    <t>Palaeoceanographic conditions in the eastern Indian Ocean for the last similar to 30 kyr are documented by means of planktonic foraminiferal analyses of 10 gravity cores. Quantitative foraminiferal analysis (%), Q-mode factor analysis, the modem analog technique (MAT) and oxygen-isotope analyses are used. A conspicuous increase during the last glacial maximum (LGM) of foraminiferal fragmentation resulting from a more productive Java upwelling system and/or a more corrosive Antarctic Intermediate Water (AAIW) was found at intermediate water depths (similar to 1000 m). Contrasting Q-mode factors based on foraminifera between today and the LGM suggest changes in the thermocline depth, sea-surface temperature (SST), upwelling, and the strength of both the Australasian Mediterranean Water (AAMW) and the Indian Central Water (ICW). The decrease in the percentage abundance of shallow-dwelling and symbiont-bearing planktonic foraminifera, the increase in percentage of the upwelling-related species Globorotalia cultrata and Neogloboquadrina dutertrei, and factor 3 (dominated by Globorotalia tumida and Globigerinella siphonifera) suggest a stronger Java upwelling system during the LGM. A steeper, steric latitudinal gradient (in the presence of a weak Leeuwin Current), and a geostrophic flow similar to today's is postulated for the LGM, and this must have prevented upwelling offshore Western Australia. Today's AAMW-ICW sharp front was weaker during the LGM when the AAMW was saltier, cooler, and nutrient richer and more similar to the ICW. During the LGM, a more gentle SST latitudinal gradient over the similar to 16 to similar to 23 degrees S region contrasts with today's steeper conditions at the AAMW-ICW Front. Also, for the LGM, a nutrient-rich ICW may explain previously documented increases in mass accumulation rates of CaCO3, organic carbon and benthonic foraminifera in a region where the nutricline was deep and within the lower euphotic zone. (C) 1999 Elsevier Science B.V. All rights reserved.</t>
  </si>
  <si>
    <t>Australian Natl Univ, Dept Geol, Australian Marine Quaternary Program, Canberra, ACT 0200, Australia; Australian Natl Univ, Res Sch Earth Sci, Canberra, ACT 0200, Australia</t>
  </si>
  <si>
    <t>Australian National University; Australian National University</t>
  </si>
  <si>
    <t>Australian Natl Univ, Dept Geol, Australian Marine Quaternary Program, GPO Box 4, Canberra, ACT 0200, Australia.</t>
  </si>
  <si>
    <t>patrick.dedeckker@anu.edu.au</t>
  </si>
  <si>
    <t>Barrows, Timothy/A-1428-2008; Barrows, Timothy T/E-8471-2011</t>
  </si>
  <si>
    <t>Barrows, Timothy T/0000-0003-2614-7177</t>
  </si>
  <si>
    <t>10.1016/S0031-0182(98)00153-9</t>
  </si>
  <si>
    <t>166HL</t>
  </si>
  <si>
    <t>WOS:000078570100004</t>
  </si>
  <si>
    <t>Sinclair, BJ; Worland, MR; Wharton, DA</t>
  </si>
  <si>
    <t>Ice nucleation and freezing tolerance in New Zealand alpine and lowland weta, Hemideina spp. (Orthoptera; Stenopelmatidae)</t>
  </si>
  <si>
    <t>PHYSIOLOGICAL ENTOMOLOGY</t>
  </si>
  <si>
    <t>adaptation; alpine weta; haemolymph ice nucleating agent; Hemideina maori; ice nucleation; Orthoptera; Stenopelmatidae</t>
  </si>
  <si>
    <t>MAORI HUTTON ORTHOPTERA; INSECT COLD HARDINESS; TREE WETA; ADAPTATIONS; HEMOLYMPH; ISLAND</t>
  </si>
  <si>
    <t>The alpine tree weta Hemidiena maori Pictet et Saussure (Orthoptera: Stenopelmatidae) is a large, flightless insect found above the treeline on many of the mountain ranges of the South Island of New Zealand. The population found on the Rock and Pillar Range, Central Otago has been identified as freezing tolerant with a haemolymph ice nucleating agent. The ability of H. maori to survive freezing is compared to the lowland weta Hemideina thoracica Walker and H. crassidens Blanchard, both of which are able to survive the formation of some ice in their bodies. Mortality is associated with time spent frozen in H. thoracica, and it is hypothesized that this species is killed when a critical proportion of its body water is frozen. All five subalpine and alpine populations of H. maori surveyed were found to be freezing tolerant. Comparison of temperatures of first nucleation and mean supercooling point of haemolymph droplets suggest that haemolymph ice nucleating activity varies between populations of H. maori. Hemideina maori collected from the Mt Cook region appear to lack a haemolymph ice nucleator. This population is nevertheless freezing tolerant, suggesting that the haemolymph ice nucleating agent described in H. maori is not essential for freezing tolerance. Hemideina crassidens and H. ricta Hutton, both of which are found in lowland habitats, also had high mean supercooling point and temperatures of first nucleation of haemolymph droplets, suggesting that these species also have a haemolymph ice nucleator. Comparison of ice nucleation characteristics of haemolymph and faecal material (representing gut contents) suggests that gut nucleators in H. maori may be at least as efficient as the haemolymph nucleator. It is concluded that freezing tolerance is probably not an adaptation to the alpine environment. This highlights the need for inter- and intraspecific comparative studies if physiological data are to be used to draw evolutionary conclusions.</t>
  </si>
  <si>
    <t>Univ Otago, Dept Zool, Dunedin, New Zealand; British Antarctic Survey, NERC, Cambridge CB3 0ET, England</t>
  </si>
  <si>
    <t>University of Otago; UK Research &amp; Innovation (UKRI); Natural Environment Research Council (NERC); NERC British Antarctic Survey</t>
  </si>
  <si>
    <t>Univ Otago, Dept Zool, POB 56, Dunedin, New Zealand.</t>
  </si>
  <si>
    <t>brent.sinclair@stonebow.otago.ac.nz</t>
  </si>
  <si>
    <t>Sinclair, Brent J/C-6133-2012</t>
  </si>
  <si>
    <t>Wharton, David/0000-0001-6369-4984; Sinclair, Brent/0000-0002-8191-9910</t>
  </si>
  <si>
    <t>0307-6962</t>
  </si>
  <si>
    <t>1365-3032</t>
  </si>
  <si>
    <t>PHYSIOL ENTOMOL</t>
  </si>
  <si>
    <t>Physiol. Entomol.</t>
  </si>
  <si>
    <t>10.1046/j.1365-3032.1999.00112.x</t>
  </si>
  <si>
    <t>171WP</t>
  </si>
  <si>
    <t>WOS:000078887400008</t>
  </si>
  <si>
    <t>Edwards, HGM; Farwell, DW; Grady, MM; Wynn-Williams, DD; Wright, IP</t>
  </si>
  <si>
    <t>Comparative Raman microscopy of a Martian meteorite and Antarctic lithic analogues</t>
  </si>
  <si>
    <t>SNC METEORITES; WEATHERING PRODUCTS; MARS; ALH84001; CARBON; ROCK</t>
  </si>
  <si>
    <t>The Raman microspectra of the Nakhla SNC meteorite, which probably originates from Mars, are reported here for the first time. The specimen is shown to be heterogeneous, even at a sampling level of 2 mu m, but several important mineralogical features have been identified, including clinopyroxene, olivine and plagioclase. In some sampling regions, rs-quartz particles are evident and in one sample region the nu(CO32-) mode of calcite at 1086 cm(-1) is found. There is no evidence lbr organic chemical content detectable In this meteorite specimen, based on an absence of nu(CH) and delta(CH2) modes near 3000 and 1400 cm(-1), respectively. Comparative Raman spectroscopic analyses were made on epilithic examples of Xanthoria elegans from Crater Cirque, northern Victoria Land, Antarctica, and cryptoendoliths from East Beacon, McMurdo Dry Valleys, as positive controls for microbial organics in cold, arid habitats analogous to former Martian conditions. Finally, an assessment is made of the potential role of Raman spectroscopy for extra-terrestrial characterisation of geological specimens. (C) 1999 Elsevier Science Ltd. All rights reserved.</t>
  </si>
  <si>
    <t>Univ Bradford, Bradford BD7 1DP, W Yorkshire, England; Nat Hist Museum, Meteorite Sect, London SWY 5BD, England; British Antarctic Survey, Cambridge CB32 0ET, England; Open Univ, Planetary Sci Res Inst, Milton Keynes MK7 6AA, Bucks, England</t>
  </si>
  <si>
    <t>University of Bradford; Natural History Museum London; UK Research &amp; Innovation (UKRI); Natural Environment Research Council (NERC); NERC British Antarctic Survey; Open University - UK</t>
  </si>
  <si>
    <t>10.1016/S0032-0633(98)00127-5</t>
  </si>
  <si>
    <t>190TE</t>
  </si>
  <si>
    <t>WOS:000079980300008</t>
  </si>
  <si>
    <t>Ansorge, IJ; Froneman, PW; Pakhomov, EA; Lutjeharms, JRE; Perissinotto, R; van Ballegooyen, RC</t>
  </si>
  <si>
    <t>Physical-biological coupling in the waters surrounding the Prince Edward Islands (Southern Ocean)</t>
  </si>
  <si>
    <t>ANTARCTIC CIRCUMPOLAR CURRENT; DRAKE PASSAGE; ZOOPLANKTON; TRANSPORT; BIOMASS; SUMMER; EDDIES; ZONE; SEA</t>
  </si>
  <si>
    <t>The results of a macro-scale oceanographic survey conducted in the upstream and downstream regions of the Prince Edward Islands in austral autumn (April/May) 1989 are presented. During the investigation, the Subantarctic Front, upstream of the islands, was shown to lie initially south at 46 degrees 38'S, while downstream, the front remained in a northern position of approximately 46 degrees S. Surface expressions of the front show that the Subantarctic Front forms a zonal band, while the subsurface expressions (200 m) show a distinct meander in both regions. In the upstream region of the islands, the northern branch of the Antarctic Circumpolar Current, the Subantarctic Front, influenced by the shallow bathymetry, was deflected around the northern edge of the islands. Water masses in this region were shown to modify gradually from Subantarctic Surface Water (7 degrees C, 33.75) to Antarctic Surface Water (5 degrees C, 33.70) as the Polar Frontal Zone was crossed. Downstream of the islands a wake was formed resulting in the generation of broad, cross-frontal meanders. As a consequence, warm Subantarctic Surface Water from north of the Subantarctic Front was advected southwards across the Polar Frontal Zone, while cooler waters, which had been modified in the transitional band of the Polar Frontal Zone, were advected northwards. In the downstream region a warm eddy consisting of Subant-arctic Surface Water was observed. Its generation is possibly due to baroclinic instabilities in the meandering wake. Zooplankton species composition and distribution patterns during the investigation were consistent with the prevailing oceanographic regime. Four distinct groupings of stations were identified by numerical analysis. These corresponded to stations found north of the Subantarctic Front, within the warm eddy, located in the Polar Frontal Zone, and those stations associated with the meander. The groupings were separated by the Subantarctic Front, which appears to represent an important biogeographic boundary to the distribution of warm-water zooplankton species. Warm eddies in the downstream region of the islands may represent an effective mechanism for transporting warm water species across the Subantarctic Front.</t>
  </si>
  <si>
    <t>Univ Cape Town, Dept Oceanog, ZA-7701 Cape Town, South Africa; Rhodes Univ, Dept Zool &amp; Entomol, So Ocean Grp, ZA-6140 Grahamstown, South Africa</t>
  </si>
  <si>
    <t>University of Cape Town; Rhodes University</t>
  </si>
  <si>
    <t>Ansorge, IJ (corresponding author), Univ Cape Town, Dept Oceanog, ZA-7701 Cape Town, South Africa.</t>
  </si>
  <si>
    <t>Ansorge@physci.uct.ac.za</t>
  </si>
  <si>
    <t>10.1007/s003000050344</t>
  </si>
  <si>
    <t>176HV</t>
  </si>
  <si>
    <t>WOS:000079146400002</t>
  </si>
  <si>
    <t>Barbraud, C; Delord, KC; Micol, T; Jouventin, P</t>
  </si>
  <si>
    <t>First census of breeding seabirds between Cap Bienvenue (Terre Adelie) and Moyes Islands (King George V Land), Antarctica: new records for Antarctic seabird populations</t>
  </si>
  <si>
    <t>Breeding population sizes of penguins, fulmarine etrels and skuas were estimated for the first time on a major part of the Terre Adelie coast and a section of the King George V Land coast during the 1997/1998 austral summer. We counted 106,400 breeding pairs and 12,400 Adelie penguin (Pygoscelis adeliae) chicks by direct counts, and 6960 breeding pairs from aerial photographs. Minimum breeding populations for other species are (direct counts): Antarctic fulmar (Fulmarus glacialoides) 6861 pairs, Antarctic petrel (Thalassoica antarctica) 4574 pairs, cape petrel (Daption capense) 194 pairs, snow petrel (Pagodroma nivea) 767 pairs, south polar skua (Catharacta maccormicki) 129 pairs and subantarctic skua (Catharacta lonnbergi) 1 breeding bird. We discovered 29 new seabird breeding locations in King George V Land, including 6 Antarctic fulmar, 4 Antarctic petrel, 3 cape petrel, 6 snow petrel and 10 south polar skua colonies. The largest colonies found contained up to 4205 breeding pairs of Antarctic fulmars. Population sizes of all species obtained in this study are higher than those found during previous partial surveys. Although these differences are in great part due to differences in survey methods, they also reflect real population changes. Our minimum population sizes obtained for a small portion of the Antarctic coast (&lt; 2%) suggest an underestimation of the estimated world breeding populations for several species of Antarctic seabirds.</t>
  </si>
  <si>
    <t>Barbraud, C (corresponding author), CNRS, Ctr Etud Biol Chize, F-79360 Villiers En Bois, France.</t>
  </si>
  <si>
    <t>Barbraud, Christophe/A-5870-2012</t>
  </si>
  <si>
    <t>Barbraud, Christophe/0000-0003-0146-212X</t>
  </si>
  <si>
    <t>10.1007/s003000050345</t>
  </si>
  <si>
    <t>WOS:000079146400003</t>
  </si>
  <si>
    <t>Montgomery, JC; Diebel, C; Halstead, MBD; Downer, J</t>
  </si>
  <si>
    <t>Olfactory search tracks in the Antarctic fish Trematomus bernacchii</t>
  </si>
  <si>
    <t>Trematomus bernacchii; Antarctic fish; chemical gradient; current; search strategy</t>
  </si>
  <si>
    <t>LATERAL-LINE; NOTOTHENIOID FISHES; MORPHOLOGY</t>
  </si>
  <si>
    <t>Video observations were made of benthic fish approaching the source of an olfactory plume. Fish (identified as Trematomus bernacchii from their saddleback markings) all approached the source from downstream, with relatively straight approach tracks. When the plume was made visible it showed a distinct concentration of the stimulus at the point of release, and a plume which extended down-stream with a rapidly decreasing stimulus gradient. Computer simulations were made that could generate search strategies based on chemical gradient information, and current (rheosensory) information alone or in combination. Only the combination of chemosensory and rheosensory information provided an adequate match to the observed approach tracks.</t>
  </si>
  <si>
    <t>Montgomery, JC (corresponding author), Univ Auckland, Sch Biol Sci, Expt Biol Res Grp, Private Bag 92019, Auckland 1, New Zealand.</t>
  </si>
  <si>
    <t>10.1007/s003000050346</t>
  </si>
  <si>
    <t>WOS:000079146400004</t>
  </si>
  <si>
    <t>Cantero, ALP; Carrascosa, AMG; Vervoort, W</t>
  </si>
  <si>
    <t>Two new species of Staurotheca Allman, 1888 (Cnidaria, Hydrozoa, Sertulariidae) from the Scotia Sea (Antarctica)</t>
  </si>
  <si>
    <t>Two new species of the genus Staurotheca Allman, 1888 have been studied (Staurotheca cornuta sp. nov, and Staurotheca multifurcata sp. nov). The material, from the Scotia Ridge area (Antarctica), was collected in 1986/1987 by the Spanish Antarctic expedition Antartida 8611. Each species is described and figured, and its systematic position among allied species is noted. Data concerning autecology and geographical distribution for each species are given. A comparative table listing the main features of the known species of the genus is included. Finally, a general survey of the geographical and bathymetrical distribution of the known species of the genus is presented.</t>
  </si>
  <si>
    <t>Fac Ciencias Biol, Dept Biol Anim, E-46100 Valencia, Spain; Natl Museum Nat Hist, NL-2300 RA Leiden, Netherlands</t>
  </si>
  <si>
    <t>Cantero, ALP (corresponding author), Fac Ciencias Biol, Dept Biol Anim, Dr Moliner 50, E-46100 Valencia, Spain.</t>
  </si>
  <si>
    <t>Pena Cantero, Alvaro/0000-0003-3056-6673</t>
  </si>
  <si>
    <t>WOS:000079146400005</t>
  </si>
  <si>
    <t>Meyer-Rochow, VB</t>
  </si>
  <si>
    <t>Photoreceptor ultrastructure in the Antarctic mussel shrimp Acetabulastoma (Crustacea: Ostracoda), a parasite of Glyptonotus antarcticus (Crustacea: Isopoda)</t>
  </si>
  <si>
    <t>EYES; ADAPTATION</t>
  </si>
  <si>
    <t>The ultrastructure of the nauplius eye of the tiny Antarctic ostracode Acetabulastoma sp. is described and conclusions about its possible function are drawn. Each of the three eye-cups measures approximately 20 mu m in diameter and is optically isolated from its neighbour by screening pigments, which are contained in pigment cells behind a tapetum of concentrically arranged, ca. 1-mu m-long and 0.1-mu m-thick, crystals. Three and sometimes four separate rhabdoms with microvilli measuring 50-60 nm in diameter project from the concave side of the tapetum up to 5 mu m deep into the eyecup interior, which is filled by the retinula cell bodies with their spherical nuclei and various organelles. Desmosomes and microtubules are seen and light-induced cell or membrane damage was minimal. The observations suggest that the Acetabulastoma eye has photoreceptors that can tolerate an exposure to bright light and it may be used to inform its owner of the approach of danger, the depth of water, and/or the season.</t>
  </si>
  <si>
    <t>Univ Oulu, Dept Biol, FIN-90570 Oulu, Finland</t>
  </si>
  <si>
    <t>University of Oulu</t>
  </si>
  <si>
    <t>Meyer-Rochow, VB (corresponding author), Inst Arctic Med, FIN-90220 Oulu, Finland.</t>
  </si>
  <si>
    <t>MEYER-ROCHOW, Victor Benno/AAJ-7258-2020</t>
  </si>
  <si>
    <t>MEYER-ROCHOW, V. Benno/0000-0003-1531-9244</t>
  </si>
  <si>
    <t>10.1007/s003000050348</t>
  </si>
  <si>
    <t>WOS:000079146400006</t>
  </si>
  <si>
    <t>Gut evacuation rates of Antarctic copepods during austral spring</t>
  </si>
  <si>
    <t>DIEL VERTICAL MIGRATION; FOOD CONCENTRATION; SOUTH GEORGIA; PACIFIC-OCEAN; TEMPERATURE; INGESTION; CLEARANCE</t>
  </si>
  <si>
    <t>The results of gut evacuation experiments performed on Antarctic copepods during the austral spring are presented and discussed. Four species of large copepods commonly occurring in the Indian sector of the Antarctic Ocean were studied: Calanus propinquus, Calanoides acutus, Rhincalanus gigas and Pleuromamma robusta. For each species two experiments were carried out, one in daytime and one in night-time, except for Calanoides acutus, which was only studied at night. P, robusta showed pigment gut retention in all experiments. The results showed that all species studied had a longer gut passage time than that previously recorded and that gut evacuation rate appears to decrease during daytime.</t>
  </si>
  <si>
    <t>10.1007/s003000050353</t>
  </si>
  <si>
    <t>WOS:000079146400011</t>
  </si>
  <si>
    <t>Rodger, AS; Rosenberg, TJ</t>
  </si>
  <si>
    <t>Riometer and HF radar signatures of polar patches</t>
  </si>
  <si>
    <t>HIGH-LATITUDES; CAP; ABSORPTION; CONVECTION</t>
  </si>
  <si>
    <t>Polar patch was the name given originally to a spatially limited enhancement of the 630-nm emission observed in the dark polar cap. More recently, the term has been applied to related phenomena observed by other experimental techniques. The interrelationship between patches observed by differing methods has yet to be determined fully. In this paper the signatures of a series of polar patches observed by Halley HF radar and the South Pole broad-beam and imaging riometers are presented. Most frequently, the HF radar patch signature immediately precedes that of the riometer polar patch signature. The interpretation is that the leading edge of the electron concentration structure that forms the patch is steeper than its trailing edge. On a few occasions, HF radar polar patch signatures coincide with the trailing edge of riometer patches and sometimes are seen throughout the riometer patch. Halley digital ionosonde data are used to show that riometer patches are more common over South Pole when the maximum I; region plasma concentration is considerably in excess of 5 x 10(11) m(-3), which often occurs in the afternoon plasma convection cell.</t>
  </si>
  <si>
    <t>British Antarctic Survey, Upper Atmospher Sci Div, Cambridge CB3 0ET, England; Univ Maryland, Inst Phys Sci &amp; Technol, College Pk, MD 20742 USA</t>
  </si>
  <si>
    <t>UK Research &amp; Innovation (UKRI); Natural Environment Research Council (NERC); NERC British Antarctic Survey; University System of Maryland; University of Maryland College Park</t>
  </si>
  <si>
    <t>Rodger, AS (corresponding author), British Antarctic Survey, Upper Atmospher Sci Div, High Cross,Madingley Rd, Cambridge CB3 0ET, England.</t>
  </si>
  <si>
    <t>10.1029/1998RS900005</t>
  </si>
  <si>
    <t>180RQ</t>
  </si>
  <si>
    <t>WOS:000079399300017</t>
  </si>
  <si>
    <t>Halzen, F</t>
  </si>
  <si>
    <t>Antarctic dreams</t>
  </si>
  <si>
    <t>SCIENCES-NEW YORK</t>
  </si>
  <si>
    <t>Univ Wisconsin, Inst Elementary Particle Phys Res, Madison, WI 53706 USA</t>
  </si>
  <si>
    <t>University of Wisconsin System; University of Wisconsin Madison</t>
  </si>
  <si>
    <t>Halzen, F (corresponding author), Univ Wisconsin, Inst Elementary Particle Phys Res, Madison, WI 53706 USA.</t>
  </si>
  <si>
    <t>NEW YORK ACAD SCIENCES</t>
  </si>
  <si>
    <t>2 E 63RD ST, NEW YORK, NY 10021 USA</t>
  </si>
  <si>
    <t>0036-861X</t>
  </si>
  <si>
    <t>SCIENCES</t>
  </si>
  <si>
    <t>Sci.-New York</t>
  </si>
  <si>
    <t>174QE</t>
  </si>
  <si>
    <t>WOS:000079045300011</t>
  </si>
  <si>
    <t>Sircombe, KN</t>
  </si>
  <si>
    <t>Tracing provenance through the isotope ages of littoral and sedimentary detrital zircon, eastern Australia</t>
  </si>
  <si>
    <t>sediment provenance; beach sand; Australia; zircon U-Pb; Gondwana tectonics; multivariate analysis</t>
  </si>
  <si>
    <t>LACHLAN FOLD BELT; SOUTHEASTERN AUSTRALIA; ENGLAND-BATHOLITH; BEARDMORE OROGENY; MOUNTAINS; CONSTRAINTS; ANTARCTICA; SYDNEY; ROCKS; SOUTH</t>
  </si>
  <si>
    <t>The provenance of detrital zircons in nineteen littoral and sedimentary deposits in eastern Australia is determined in terms of their isotopic ages measured by Sensitive High Resolution Ion MicroProbe (SHRIMP). Principal component analysis of the age data reveals four 'age groupings' whose occurrence and distribution have wider implications for regional tectonics and general provenance studies. A 100-175 Ma age grouping is correlated with Jurassic/Cretaceous volcanism along the eastern Australian margin. A 225-350 Ma age grouping is correlated with the New England Orogen. A 350-500 Ma age grouping is correlated with magmatism in the Lachlan Orogen. The ultimate source of the Pacific-Gondwana 500-700 Ma age grouping is enigmatic, but is tentatively identified as a Neoproterozoic orogeny along the eastern Antarctic margin. The geochronology of detrital zircon reveals a strong regional variation along the eastern coast with the Lachlan Orogen age grouping stronger in the south, mixing with the 500-700 Ma age grouping in the central sector, and then a New England Orogen age grouping in the north. The Pacific-Gondwana age grouping on the central coast is derived from the Middle Triassic Hawkesbury Sandstone of the Sydney Basin. This distribution of the Pacific-Gondwana age grouping via the Sydney Basin is one example of how a favourable sedimentary pathway can have greater control over provenance than proximity. The other example occurs with Jurassic/Cretaceous age grains are prominent in the Murray Basin, around 1200 km from the protosource along the eastern margin, but not in sediments now accumulated on that same margin. (C) 1999 Elsevier Science B.V. All rights reserved.</t>
  </si>
  <si>
    <t>Geol Survey Canada, 601 Booth St, Ottawa, ON K1A 0E8, Canada.</t>
  </si>
  <si>
    <t>KSircombe@NRCan.gc.can</t>
  </si>
  <si>
    <t>Sircombe, Keith/E-4998-2015</t>
  </si>
  <si>
    <t>10.1016/S0037-0738(98)00120-1</t>
  </si>
  <si>
    <t>171VM</t>
  </si>
  <si>
    <t>WOS:000078884800004</t>
  </si>
  <si>
    <t>Greenfield, LG</t>
  </si>
  <si>
    <t>Weight loss and release of mineral nitrogen from decomposing pollen</t>
  </si>
  <si>
    <t>SOIL BIOLOGY &amp; BIOCHEMISTRY</t>
  </si>
  <si>
    <t>ANTARCTIC LICHENS; PINUS-RADIATA; NEW-ZEALAND; LITTERFALL; FUNGI</t>
  </si>
  <si>
    <t>Using reflux hydrolysis it was found that pollen N from 35 plant species was largely proteinaceous and that hexosamines were rare or absent. Using a static extraction procedure, it was found that for 39 species tested, 40% of the pollen weight and 60% of the pollen N were water soluble on average. Whole pollen (n = 51) incubated at a continuous 8 degrees C or 20 degrees C with intervening daily periods (6 h) of 8 degrees C for up to 30 d, as well as freeze dried water extracts, readily decomposed in sand or soil microcosms losing up to 67 and 62% of their initial weight and N respectively. It is concluded that pollen is a high quality and readily degradable resource for Other organisms. (C) 1999 Elsevier Science Ltd. All rights reserved.</t>
  </si>
  <si>
    <t>Univ Canterbury, Dept Plant &amp; Microbial Sci, Christchurch 1, New Zealand</t>
  </si>
  <si>
    <t>University of Canterbury</t>
  </si>
  <si>
    <t>Univ Canterbury, Dept Plant &amp; Microbial Sci, Private Bag 4800, Christchurch 1, New Zealand.</t>
  </si>
  <si>
    <t>0038-0717</t>
  </si>
  <si>
    <t>1879-3428</t>
  </si>
  <si>
    <t>SOIL BIOL BIOCHEM</t>
  </si>
  <si>
    <t>Soil Biol. Biochem.</t>
  </si>
  <si>
    <t>10.1016/S0038-0717(98)00134-5</t>
  </si>
  <si>
    <t>179DN</t>
  </si>
  <si>
    <t>WOS:000079310500004</t>
  </si>
  <si>
    <t>Stanwell-Smith, D; Peck, LS; Clarke, A; Murray, AWA; Todd, CD</t>
  </si>
  <si>
    <t>The distribution, abundance and seasonality of pelagic marine invertebrate larvae in the maritime Antarctic</t>
  </si>
  <si>
    <t>PHILOSOPHICAL TRANSACTIONS OF THE ROYAL SOCIETY B-BIOLOGICAL SCIENCES</t>
  </si>
  <si>
    <t>larva; Antarctic; diversity; abundance; seasonality; marine invertebrate</t>
  </si>
  <si>
    <t>SUBLITTORAL EPIFAUNAL COMMUNITIES; ICE-FOOT ZONE; BENTHIC INVERTEBRATES; SIGNY ISLAND; MCMURDO SOUND; SEA-ICE; ECOLOGY; LIFE; HISTORY; FERTILIZATION</t>
  </si>
  <si>
    <t>survey of pelagic larvae was undertaken between November 1992 and February 1995 at Signy Island, Antarctica (60 degrees 43' S, 45 degrees 36' W). A diver-towed net and hand-held plankton pump were used at five sites of varying depths (6-30 m) and benthic substrata, in a combination of monthly and fortnightly samples. Overall larval ecological diversity was much higher than expected, with 131 morphologically distinct larval forms collected, apparently representing most of the benthic phyla present. The species richness observed is comparable with levels recorded at temperate latitudes, and higher than Arctic data and the implications for Thorson's rule (the inferred dine of reduced pelagic larval diversity towards high latitudes) is discussed. Larval abundances were low (mean 2.6 individuals per m(3)), which were two to six orders of magnitude lower than peaks in comparable data from temperate and tropical zones. We suggest that the low abundances recorded are a reflection of both slow developmental rates and a high dilution of larvae, reducing synchrony and spreading larvae over larger distances. Three seasonal periods, during which different larval types occur, have been identified. Summer, late summer and winter spawning strategies were discernible, and in some groups larvae occurred throughout the year.</t>
  </si>
  <si>
    <t>British Antarctic Survey, Cambridge CB3 0ET, England; Univ St Andrews, Gatty Marine Lab, St Andrews KY16 8LB, Fife, Scotland</t>
  </si>
  <si>
    <t>UK Research &amp; Innovation (UKRI); Natural Environment Research Council (NERC); NERC British Antarctic Survey; University of St Andrews</t>
  </si>
  <si>
    <t>l.peck@bas.ac.uk</t>
  </si>
  <si>
    <t>Todd, Christopher D/D-7528-2013</t>
  </si>
  <si>
    <t>0962-8436</t>
  </si>
  <si>
    <t>1471-2970</t>
  </si>
  <si>
    <t>PHILOS T R SOC B</t>
  </si>
  <si>
    <t>Philos. Trans. R. Soc. B-Biol. Sci.</t>
  </si>
  <si>
    <t>FEB 28</t>
  </si>
  <si>
    <t>10.1098/rstb.1999.0398</t>
  </si>
  <si>
    <t>171LA</t>
  </si>
  <si>
    <t>WOS:000078864100004</t>
  </si>
  <si>
    <t>Mosley-Thompson, E; Paskievitch, JF; Gow, AJ; Thompson, LG</t>
  </si>
  <si>
    <t>Late 20th Century increase in South Pole snow accumulation</t>
  </si>
  <si>
    <t>ANTARCTIC ICE-SHEET; DYER PLATEAU; RECORD; CLIMATE</t>
  </si>
  <si>
    <t>A compilation of the 37-year history of net accumulation at the South Pole [Mosley-Thompson et al., 1995] suggests an increase in net annual accumulation since 1965, This record is sporadic and its quality is compromised by spatially restricted observations and nonsystematic measurement procedures. Results from a new, spatially extensive network of 236 accumulation poles document that the current 5-year (1992-1997) average annual net accumulation at the South Pole is 84.5+/-8.9 mm water equivalent (w.e.). This accumulation rate reflects a 30% increase since the 1960s when the best, although not optimal, records indicate that it was 65 mm w.e. Identification of two prominent beta radioactivity horizons (1954/1955 and 1964/1965) in six firn cores confirms an increase in accumulation since 1965. Viewed from a longer perspective of accumulation provided by ice cores and a snow mine study, the net accumulation of the 30-year period, 1965-1994, is the highest 30-year average of this millennium, Limited data suggest this recent accumulation increase extends beyond the South Pole region and may be characteristic of the high East Antarctic Plateau. Enhanced accumulation over the polar ice sheets has been identified as a potential early indicator of warmer sea surface temperatures and may offset a portion of the current rise in global sea level.</t>
  </si>
  <si>
    <t>Ohio State Univ, Byrd Polar Res Ctr, Columbus, OH 43210 USA; Ohio State Univ, Dept Geog, Columbus, OH 43210 USA; US Geol Survey, Alaskan Volcano Observ, Anchorage, AK 99508 USA; Cold Reg Res Engn Lab, Hanover, NH 03755 USA; Ohio State Univ, Dept Geol Sci, Columbus, OH 43210 USA</t>
  </si>
  <si>
    <t>University System of Ohio; Ohio State University; University System of Ohio; Ohio State University; United States Department of the Interior; United States Geological Survey; United States Department of Defense; United States Army; U.S. Army Corps of Engineers; U.S. Army Engineer Research &amp; Development Center (ERDC); Cold Regions Research &amp; Engineering Laboratory (CRREL); University System of Ohio; Ohio State University</t>
  </si>
  <si>
    <t>Ohio State Univ, Byrd Polar Res Ctr, 1090 Carmack Rd, Columbus, OH 43210 USA.</t>
  </si>
  <si>
    <t>thompson.4@osu.edu</t>
  </si>
  <si>
    <t>FEB 27</t>
  </si>
  <si>
    <t>D4</t>
  </si>
  <si>
    <t>10.1029/1998JD200092</t>
  </si>
  <si>
    <t>169TF</t>
  </si>
  <si>
    <t>WOS:000078764100002</t>
  </si>
  <si>
    <t>Wagnon, P; Delmas, RJ; Legrand, M</t>
  </si>
  <si>
    <t>Loss of volatile acid species from upper firn layers at Vostok, Antarctica</t>
  </si>
  <si>
    <t>ICE-CORE RECORD; SOUTH-POLE; METHANESULFONIC-ACID; SULFUR CYCLE; NITRIC-ACID; SNOW; NITRATE; DIMETHYLSULFIDE; PRECIPITATION; EMISSIONS</t>
  </si>
  <si>
    <t>Significant natural artifacts in ice chemical records have been pointed out in recent preliminary glaciochemical studies carried out in central Antarctic areas with very low snow accumulation rates (generally less than 5 g cm(-2) yr(-1)). Several deep drilling operations are underway in these regions for long-term paleoclimatic reconstructions. A detailed glaciochemical study has been carried out at Vostok Station in order to investigate post deposition changes of ion concentrations in the snow and firn layers. The results show that, in general, concentration profiles of species such as Cl, F, and NO3, partly deposited as gases, exhibit a rapid decrease in the first few meters, indicating that a fraction, sometimes major, of these compounds is expelled back in the atmosphere after deposition. Some redeposition process of the gases is likely in the upper firn layers. Surprisingly, a similar effect is found for methanesulfonate (MS), suggesting that this compound could have a gaseous component in central Antarctic regions. The data also show that Cl, F, NO,, and MSA may be slowly but significantly displaced in the firn layers by high sulfuric acid levels of volcanic origin. The drastic changes observed in the surface snow layers may severely question current interpretations of certain chemical data recovered in these areas and point out an urgent need for new field and laboratory experiments on the air-to-ice transfer processes prevailing under central Antarctic conditions.</t>
  </si>
  <si>
    <t>Lab Glaciol &amp; Geophys Environm, CNRS, F-38402 St Martin Dheres, France</t>
  </si>
  <si>
    <t>Lab Glaciol &amp; Geophys Environm, CNRS, BP 96,54 Rue Moliere, F-38402 St Martin Dheres, France.</t>
  </si>
  <si>
    <t>wagnon@glaciog.ujf-grenoble.fr; delmas@glaciog.ujf-grenoble.fr; mimi@glaciog.ujf-grenoble.fr</t>
  </si>
  <si>
    <t>Legrand, Michel/AAU-4678-2020</t>
  </si>
  <si>
    <t>FEB 20</t>
  </si>
  <si>
    <t>D3</t>
  </si>
  <si>
    <t>10.1029/98JD02855</t>
  </si>
  <si>
    <t>168RN</t>
  </si>
  <si>
    <t>WOS:000078706600001</t>
  </si>
  <si>
    <t>Konovalov, IB; Feigin, AM; Mukhina, AY</t>
  </si>
  <si>
    <t>Toward understanding of the nonlinear nature of atmospheric photochemistry: Multiple equilibrium states in the high-latitude lower stratospheric photochemical system</t>
  </si>
  <si>
    <t>WINTER POLAR STRATOSPHERES; ANTARCTIC SPRING VORTEX; TOTAL REACTIVE NITROGEN; NITRIC-ACID TRIHYDRATE; OZONE HOLE; STEADY-STATES; AAOE OBSERVATIONS; CHEMISTRY; BEHAVIOR; MODEL</t>
  </si>
  <si>
    <t>We investigate the qualitative nonlinear dynamic properties of the high-latitude stratospheric (HLS) photochemical system I(PCS). For the investigation we use the model of HLS PCS, which includes all the most significant processes of chemical nature, taking place in the high-latitude (both Arctic and Antarctic) lower stratosphere in minter-spring period, and adequately simulates the evolution of the Antarctic ozone hole. We analyze the photochemistry in the stratospheric region at 17-18 km altitude and 70-80 degrees latitude and reveal that HLS PCS may possess simultaneously several equilibrium states (multistability) under conditions, which differ from the conditions of the actual present-day atmosphere only by smaller total mixing ratio of inorganic chlorine species. The required conditions were typical for the atmosphere in recent past and are expected in future. Through a graphical-analytical consideration we reveal the origin of multistability of HLS PCS and in doing so we insure that multistability is not a consequence of any approximation used in the model but is a property inherent in nature of HLS PCS. We demonstrate that when the multistability of HLS PCS is present, it may considerably influence the spring evolution of the Antarctic photochemistry.</t>
  </si>
  <si>
    <t>Russian Acad Sci, Inst Appl Phys, Nizhnii Novgorod 603600, Russia</t>
  </si>
  <si>
    <t>Russian Academy of Sciences; Institute of Applied Physics of the Russian Academy of Sciences</t>
  </si>
  <si>
    <t>Konovalov, IB (corresponding author), Russian Acad Sci, Inst Appl Phys, 46 Ulyanov St, Nizhnii Novgorod 603600, Russia.</t>
  </si>
  <si>
    <t>konov@appl.sci-nnov.ru; feigin@appl.sci-nnov.ru</t>
  </si>
  <si>
    <t>Feigin, Alexander M./K-3857-2018; Mukhina, Anna/AAO-4749-2020; Konovalov, Igor/R-6445-2017</t>
  </si>
  <si>
    <t>Feigin, Alexander M./0000-0002-9106-7766; Konovalov, Igor/0000-0002-0716-4273</t>
  </si>
  <si>
    <t>10.1029/1998JD100037</t>
  </si>
  <si>
    <t>WOS:000078706600018</t>
  </si>
  <si>
    <t>Ruhnke, R; Kouker, W; Reddmann, T</t>
  </si>
  <si>
    <t>The influence of the OH+NO2+M reaction on the NOy partitioning in the late Arctic winter 1992/1993 as studied with KASIMA</t>
  </si>
  <si>
    <t>GENERAL-CIRCULATION MODEL; ATMOSPHERE RESEARCH SATELLITE; ETALON SPECTROMETER CLAES; ANTARCTIC OZONE HOLE; MIDDLE ATMOSPHERE; STRATOSPHERIC AEROSOLS; POLAR STRATOSPHERE; SOLAR-RADIATION; PARAMETERIZATION; CHLORINE</t>
  </si>
  <si>
    <t>The northern hemispheric winter 1992/1993 is simulated with the Karlsruhe Simulation Model of the Middle Atmosphere (KASIMA). The model is a combination of an off-line model using analyses from the European Centre for Medium Range Weather Forecasts up to a pressure altitude of 10 hPa and a mechanistic prognostic model on top with an entire altitude range from 10 up to 120 km. The chemistry scheme included in the model represents the gas phase chemistry as well as heterogeneous reactions on polar stratospheric clouds and on liquid sulfate aerosols. We compare model results with global measurements performed by the instruments of the Upper Atmosphere Research Satellite. The model is able to simulate the global distribution of source gases and long-lived species as well as reactive species in good agreement with the observations. The most significant discrepancies occur inside the vortex where the calculated ozone mixing ratio is overestimated. Below the pressure altitude of 30 hPa inside the vortex the calculated NO2 mixing ratio is underestimated compared to the measurement. A sensitivity study with a new recommendation of the OH + NO2 + M rate constant using the full form of the falloff function for the pressure dependence has been performed. The mixing ratios of the NOy species differ by only about 5% due to the new recommended rate constant inside the vortex with no significant effect on the denoxification.</t>
  </si>
  <si>
    <t>Forschungszentrum Karlsruhe, Inst Meteorol &amp; Klimaforsch, D-76021 Karlsruhe, Germany</t>
  </si>
  <si>
    <t>Helmholtz Association; Karlsruhe Institute of Technology</t>
  </si>
  <si>
    <t>Ruhnke, R (corresponding author), Forschungszentrum Karlsruhe, Inst Meteorol &amp; Klimaforsch, POB 3640, D-76021 Karlsruhe, Germany.</t>
  </si>
  <si>
    <t>roland.ruhnke@imk.fzk.de</t>
  </si>
  <si>
    <t>Ruhnke, Roland/J-8800-2012; Reddmann, Thomas/A-7681-2013</t>
  </si>
  <si>
    <t>Ruhnke, Roland/0000-0002-0353-1603; Reddmann, Thomas/0000-0003-1733-7016</t>
  </si>
  <si>
    <t>10.1029/1998JD100062</t>
  </si>
  <si>
    <t>WOS:000078706600023</t>
  </si>
  <si>
    <t>Gong, DY; Wang, SW</t>
  </si>
  <si>
    <t>Definition of Antarctic Oscillation Index</t>
  </si>
  <si>
    <t>SOUTHERN-HEMISPHERE; VARIABILITY; CIRCULATION; SIMULATIONS; CYCLE</t>
  </si>
  <si>
    <t>Following Walker's work about his famous three: oscillations published during the 1920-30s, many papers were written about atmospheric oscillations. A fourth atmospheric oscillation in the middle and high southern latitudes was found, and named the Antarctic Oscillation (AO). AO refers to a large scale alternation of atmospheric mass between the mid-latitudes and high latitudes surface pressure. In order to understand the spatial structure of sea level pressure variation in detail, empirical orthogonal function analysis is applied. An objective index of the Antarctic Oscillation Index (AOI) is defined as the difference of zonal mean sea level pressure between 40 degrees S and 65 degrees S. The AOI has the potential for clarifying climate regimes in the southern hemisphere, Similar to how the NAO and the NPO has been used in the northern hemisphere.</t>
  </si>
  <si>
    <t>Peking Univ, Dept Geophys, Beijing 100871, Peoples R China</t>
  </si>
  <si>
    <t>Gong, DY (corresponding author), Peking Univ, Dept Geophys, Beijing 100871, Peoples R China.</t>
  </si>
  <si>
    <t>FEB 15</t>
  </si>
  <si>
    <t>10.1029/1999GL900003</t>
  </si>
  <si>
    <t>167EW</t>
  </si>
  <si>
    <t>WOS:000078620400007</t>
  </si>
  <si>
    <t>Santacesaria, V; Stefanutti, L; Morandi, M; Guzzi, D; MacKenzie, AR</t>
  </si>
  <si>
    <t>Two-year (1996/1997) ozone DIAL measurement over Dumont d'Urville (Antarctica)</t>
  </si>
  <si>
    <t>AEROSOL; WINTER; LIDAR</t>
  </si>
  <si>
    <t>Two years of ozone measurements (1996, 1997), sorted according to the analysed potential vorticity over Dumont d'Urville (66 degrees S), are presented. Subsidence in the vortex was observed by tracing the descent of the ozone maximum. Chemical depletion was also observed. In spring-time, the ozone mixing ratio was reduced by a factor 10 on isentropes between about 400 K and 475 K. Using the observations of descent and depletion, it is shown that, at the latitude of Dumont d'Urville, chemical depletion starts close to mid-winter. Depletion starts earlier at higher altitudes (above 450 K) than at lower altitudes (below 450 K). The earlier presence of Polar Stratospheric Clouds (PSCs) at higher altitudes than at lower altitudes is a likely reason. The mid-winter maximum in Antarctic total ozone columns [Roscoe et al., 1997] is then due to the integrated effect of these phase-shifted maxima on the various isentropic surfaces.</t>
  </si>
  <si>
    <t>CNR, IROE, I-50127 Florence, Italy; Dept Environm Sci, Lancaster LA1 4YQ, England</t>
  </si>
  <si>
    <t>Consiglio Nazionale delle Ricerche (CNR); Lancaster University</t>
  </si>
  <si>
    <t>Santacesaria, V (corresponding author), CNR, IROE, Via Panciatichi 64, I-50127 Florence, Italy.</t>
  </si>
  <si>
    <t>MacKenzie, Angus Robert/ISS-0362-2023; MacKenzie, Angus Robert/B-1704-2009</t>
  </si>
  <si>
    <t>MacKenzie, Angus Robert/0000-0002-8227-742X</t>
  </si>
  <si>
    <t>10.1029/1999GL900018</t>
  </si>
  <si>
    <t>WOS:000078620400008</t>
  </si>
  <si>
    <t>Weatherwax, AT; Vo, HB; Rosenberg, TJ; Mende, SB; Frey, HU; Lanzerotti, LJ; Maclennan, CG</t>
  </si>
  <si>
    <t>A dayside ionospheric absorption perturbation in response to a large deformation of the magnetopause</t>
  </si>
  <si>
    <t>TRAVELING CONVECTION VORTICES; EVENTS; SIGNATURES</t>
  </si>
  <si>
    <t>A large deformation of the dayside magnetopause was observed by Interball-1 from 1132 to 1139 UT on July 24, 1996. The spacecraft, near 0800 LT at the time, transited the magnetosheath twice within 7 minutes. fn response to these boundary perturbations, the antarctic stations South Pole and AGO-PS, located at about the same local time as Interball-1, observed impulsive magnetic variations. These variations were similar;to previously reported magnetic variations observed in the northern hemisphere conjugate region during this event and may be related to discrete field-aligned currents linking the ionosphere to the perturbed outer magnetosphere. Westward propagation of the magnetic signatures in both ionospheric regions is consistent with a travelling convection vortex event; however, the speed is significantly higher in the north (similar to 10 km/s) than in the south (similar to 3 km/s). A localized intensification of energetic electron precipitation (427.8 nm auroral emission and riometer absorption) was observed at South Pole station, but not at AGO-P3 or at the nominally conjugate locations in Greenland and Canada. The complex, Z-component Variation of the magnetic pulse accompanying the particle precipitation at South Pole may be evidence of a localized ionospheric conductivity enhancement, as proposed in a recent model study of travelling convection vortices.</t>
  </si>
  <si>
    <t>Univ Maryland, Inst Phys Sci &amp; Technol, College Pk, MD 20742 USA; Univ Calif Berkeley, Space Sci Lab, Berkeley, CA 94720 USA; AT&amp;T Bell Labs, Lucent Technol, Murray Hill, NJ 07974 USA; Univ Calgary, Dept Phys &amp; Astron, Calgary, AB T2N 1N4, Canada</t>
  </si>
  <si>
    <t>University System of Maryland; University of Maryland College Park; University of California System; University of California Berkeley; AT&amp;T; Alcatel-Lucent; Lucent Technologies; Nokia Corporation; Nokia Bell Labs; University of Calgary</t>
  </si>
  <si>
    <t>Weatherwax, AT (corresponding author), Univ Maryland, Inst Phys Sci &amp; Technol, College Pk, MD 20742 USA.</t>
  </si>
  <si>
    <t>Weatherwax, Allan/0000-0003-4732-358X; Frey, Harald/0000-0001-8955-3282; vo, hien/0000-0002-0537-2861</t>
  </si>
  <si>
    <t>10.1029/1999GL900017</t>
  </si>
  <si>
    <t>WOS:000078620400023</t>
  </si>
  <si>
    <t>Moore, JK; Abbott, MR; Richman, JG</t>
  </si>
  <si>
    <t>Location and dynamics of the Antarctic Polar Front from satellite sea surface temperature data</t>
  </si>
  <si>
    <t>SOUTHERN-OCEAN; CIRCUMPOLAR CURRENT; DRAKE PASSAGE; WATER MASSES; BOTTOM TOPOGRAPHY; WEDDELL GYRE; ROSSBY WAVES; CIRCULATION; MODEL; ALTIMETRY</t>
  </si>
  <si>
    <t>The location of the Antarctic Polar Front (PF) was mapped over a 7-year period (1987-1993) within images of satellite-derived sea surface temperature. The mean path of the PF is strongly steered by the topographic features of the Southern Ocean. The topography places vorticity constraints on the dynamics of the PF that strongly affect spatial and temporal variability. Over the deep ocean basins the surface expression of the PF is weakened, and the PF meanders over a wide latitudinal range. Near large topographic features, width and temperature change across the front increase, and large scale meandering is inhibited. Elevated mesoscale variability is seen within and downstream of these areas and may be the result of baroclinic instabilities initiated where the PF encounters large topographic features. The strong correlations between topography and PF dynamics can be understood in the context of the planetary potential vorticity (PPV or f/H) field. Mean PPV at the PF varies by more than a factor of 2 along its circumpolar path. However, at the mesoscale the PF remains within a relatively narrow range of PPV values around the local mean. Away from large topographic features, the PF returns to a preferred PPV value of similar to 25 x 10(-9) m(-1) s(-1) despite large latitudinal shifts. The mean paths of the surface and subsurface expressions of the PF are closely coupled over much of the Southern Ocean.</t>
  </si>
  <si>
    <t>Oregon State Univ, Coll Ocean &amp; Atmospher Sci, Corvallis, OR 97331 USA</t>
  </si>
  <si>
    <t>Oregon State University</t>
  </si>
  <si>
    <t>Oregon State Univ, Coll Ocean &amp; Atmospher Sci, 104 Ocean Adm Bldg, Corvallis, OR 97331 USA.</t>
  </si>
  <si>
    <t>jmoore@oce.orst.edu; mabbott@oce.orst.edu; richman@oce.orst.edu</t>
  </si>
  <si>
    <t>Abbott, Mark R/J-8445-2016</t>
  </si>
  <si>
    <t>C2</t>
  </si>
  <si>
    <t>10.1029/1998JC900032</t>
  </si>
  <si>
    <t>166UJ</t>
  </si>
  <si>
    <t>WOS:000078595300003</t>
  </si>
  <si>
    <t>Davis, RW; Fuiman, LA; Williams, TM; Collier, SO; Hagey, WP; Kanatous, SB; Kohin, S; Horning, M</t>
  </si>
  <si>
    <t>Hunting behavior of a marine mammal beneath the Antarctic fast ice</t>
  </si>
  <si>
    <t>DIVING BEHAVIOR; WEDDELL SEALS; ELEPHANT SEALS; ROSS SEA; MOVEMENTS</t>
  </si>
  <si>
    <t>The hunting behavior of a marine mammal was studied beneath the Antarctic fast ice with an animal-borne video system and data recorder. Weddell seals stalked Large Antarctic cod and the smaller subice fish Pagothenia borchgrevinki, often with the under-ice surface for backlighting, which implies that vision is important for hunting. They approached to within centimeters of cod without startling the fish. Seals flushed P. borchgrevinki by blowing air into subice crevices or pursued them into the platelet ice. These observations highlight the broad range of insights that are possible with simultaneous recordings of video, audio, three-dimensional dive paths, and Locomotor effort.</t>
  </si>
  <si>
    <t>Texas A&amp;M Univ, Dept Marine Biol, Galveston, TX 77553 USA; Univ Texas Austin, Dept Marine Sci, Port Aransas, TX 78373 USA; Univ Calif Santa Cruz, Dept Biol, Santa Cruz, CA 95064 USA; Pisces Design, La Jolla, CA 92037 USA; Univ Calif San Diego, Sch Med, La Jolla, CA 92093 USA</t>
  </si>
  <si>
    <t>Texas A&amp;M University System; University of Texas System; University of Texas Austin; University of California System; University of California Santa Cruz; University of California System; University of California San Diego</t>
  </si>
  <si>
    <t>Davis, RW (corresponding author), Texas A&amp;M Univ, Dept Marine Biol, 5007 Ave U, Galveston, TX 77553 USA.</t>
  </si>
  <si>
    <t>davisr@tamug.tamu.edu</t>
  </si>
  <si>
    <t>Fuiman, Lee A/L-9514-2017; Horning, Markus/I-3019-2015</t>
  </si>
  <si>
    <t>Horning, Markus/0000-0001-6178-4935</t>
  </si>
  <si>
    <t>FEB 12</t>
  </si>
  <si>
    <t>10.1126/science.283.5404.993</t>
  </si>
  <si>
    <t>166KM</t>
  </si>
  <si>
    <t>WOS:000078574800051</t>
  </si>
  <si>
    <t>Heterogeneous reaction HOCl+HBr→BrCl+H2O on ice films</t>
  </si>
  <si>
    <t>REAL-TIME KINETICS; ANTARCTIC OZONE; SULFURIC-ACID; HCL; SURFACES; HBR; HOCL; RANGE; HOCL+HCL-&gt;CL2+H2O; STRATOSPHERE</t>
  </si>
  <si>
    <t>The heterogeneous reaction HOCl + HBr(s) --&gt; BrCl + H2O(s) on the ice surface at 189 and 220 K has been investigated in a flow reactor interfaced with a differentially pumped quadrupole mass spectrometer. Pseudo first-order decay of HOCl over the HBr-treated ice surfaces has been determined under the condition of P-HOCl &lt; P-HBr. For the HBr partial pressure in the range of 1.1 x 10(-7) to 6.6 x 10(-5) Torr, the reaction probability (gamma(g)) was determined in the range of 0.06 to 0.38 at 189 K. The reaction probability is in the range of 0.01 to 0.07 at 220 K for HBr partial pressure from 7.2 x 10(-7) to 1.3 x 10(-5) Torr. The reaction probability was found to be strongly dependent on the ice surface temperature. The reaction probability is higher at the lower temperature than that at the warmer temperature and a mechanistic explanation is provided. The true reaction probabilities (gamma(t)) of the reaction were calculated using a pore diffusion model. The kinetic analysis indicates that the heterogeneous reaction of HOCl + HBr may follow the Eley-Rideal type of mechanism. Also, the heat of uptake of HOCl on ice was determined to be about -8.5 +/- 2 kcal/mol.</t>
  </si>
  <si>
    <t>SUNY Albany, Dept Environm Hlth &amp; Toxicol, Albany, NY 12201 USA; Wadsworth Ctr, Albany, NY 12201 USA</t>
  </si>
  <si>
    <t>State University of New York (SUNY) System; State University of New York (SUNY) Albany; Wadsworth Center</t>
  </si>
  <si>
    <t>lchu@cnsvax.albany.edu</t>
  </si>
  <si>
    <t>FEB 11</t>
  </si>
  <si>
    <t>10.1021/jp983407n</t>
  </si>
  <si>
    <t>172GH</t>
  </si>
  <si>
    <t>WOS:000078914800008</t>
  </si>
  <si>
    <t>Gómez, PC; Pacios, LF</t>
  </si>
  <si>
    <t>Bromine and mixed bromine chlorine oxides:: Wave function (CCSD(T) and MP2) versus density functional theory (B3LYP) calculations</t>
  </si>
  <si>
    <t>VIBRATIONAL-SPECTRA; RELATIVE ENERGETICS; ANTARCTIC OZONE; AB-INITIO; ISOMERS; MOLECULES</t>
  </si>
  <si>
    <t>Bromine peroxide, mixed bromine and chlorine peroxides, and their isomers have been studied ab initio using both wave function and density functional theory methods. The performance of the methodologies in studying these species is analyzed. Optimized geometries, harmonic frequencies, relative energies, and isodesmic heats of formation at 0 and 298.15 K, have been calculated and used to discuss the form and relative stability of these species. The spontaneity of various possible decomposition channels for these species is also studied. Comparisons with previous ab initio calculations is presented and discrepancies are analyzed.</t>
  </si>
  <si>
    <t>Univ Complutense Madrid, Fac Quim, Dept Quim Fis 1, E-28040 Madrid, Spain; Univ Politecn Madrid, ETSI Montes, Dept Quim &amp; Bioquim, E-28040 Madrid, Spain</t>
  </si>
  <si>
    <t>Complutense University of Madrid; Universidad Politecnica de Madrid</t>
  </si>
  <si>
    <t>Univ Complutense Madrid, Fac Quim, Dept Quim Fis 1, E-28040 Madrid, Spain.</t>
  </si>
  <si>
    <t>pgc@eucmos.sim.ucm.es; lfp@atenea.montes.upm.es</t>
  </si>
  <si>
    <t>Pacios, Luis F./AAL-6124-2021</t>
  </si>
  <si>
    <t>Pacios, Luis F./0000-0002-0585-4289</t>
  </si>
  <si>
    <t>10.1021/jp983447r</t>
  </si>
  <si>
    <t>WOS:000078914800015</t>
  </si>
  <si>
    <t>Rist, MA; Sammonds, PR; Murrell, SAF; Meredith, PG; Doake, CSM; Oerter, H; Matsuki, K</t>
  </si>
  <si>
    <t>Experimental and theoretical fracture mechanics applied to Antarctic ice fracture and surface crevassing</t>
  </si>
  <si>
    <t>FRESH-WATER ICE; BOTTOM CREVASSES; TOUGHNESS; SHELF; DISINTEGRATION; RESISTANCE; SPECIMENS; SHEETS; STRAIN</t>
  </si>
  <si>
    <t>Recent disintegration of ice shelves on the Antarctic Peninsula has highlighted the need for a better understanding of ice shelf fracture processes generally. In this paper we present a fracture criterion, incorporating new experimental fracture data, coupled with an ice shelf flow model to predict the spatial distribution of surface crevassing on the Filchner-Ronne Ice Shelf. We have developed experiments that have enabled us to quantify, for the first time, quasi-stable crack growth in Antarctic ice core specimens using a fracture initiation toughness, K-init, for which crack growth commences. The tests cover a full range of nearsurface densities, rho = 560-871 kg m(-3) (10.9-75.7 m depth). Results indicate an apparently linear dependence of fracture toughness on porosity such that K-int = 0.257 rho-80.7, predicting a zero-porosity toughness of K-o = 155 kPa m(1/2). We have used this data to test the applicability to crevassing of a two-dimensional fracture mechanics criterion for the propagation of a small sharp crack in a biaxial stress field. The growth of an initial flaw into a larger crevasse, which involves a purely tensile crack opening, depends on the size of the flaw, the magnitude of K-init, and the nature of the applied stress field. By incorporating the criterion into a stress map of the Filchner-Ronne Ice Shelf derived from a depth-integrated finite element model of the strain-rate field, we have been able to predict regions of potential crevassing. These agree well with satellite imagery provided an initial flaw size is assumed in the range 5-50 cm.</t>
  </si>
  <si>
    <t>Univ London Univ Coll, Dept Geol Sci, Rock &amp; Ice Phys Lab, London WC1E 6BT, England; British Antarctic Survey, Cambridge CB3 0ET, England; Alfred Wegener Inst Polar &amp; Marine Res, D-27515 Bremerhaven, Germany; Tohoku Univ, Grad Sch Engn, Dept Geosci &amp; Technol, Aoba Ku, Sendai, Miyagi 9808579, Japan</t>
  </si>
  <si>
    <t>University of London; University College London; UK Research &amp; Innovation (UKRI); Natural Environment Research Council (NERC); NERC British Antarctic Survey; Helmholtz Association; Alfred Wegener Institute, Helmholtz Centre for Polar &amp; Marine Research; Tohoku University</t>
  </si>
  <si>
    <t>Univ Cambridge, Dept Mat Sci &amp; Met, Cambridge CB2 3Q7, England.</t>
  </si>
  <si>
    <t>mar36@cam.ac.uk</t>
  </si>
  <si>
    <t>Meredith, Philip/0000-0003-2193-5342</t>
  </si>
  <si>
    <t>FEB 10</t>
  </si>
  <si>
    <t>B2</t>
  </si>
  <si>
    <t>10.1029/1998JB900026</t>
  </si>
  <si>
    <t>165YL</t>
  </si>
  <si>
    <t>WOS:000078549400022</t>
  </si>
  <si>
    <t>Benedict, JB</t>
  </si>
  <si>
    <t>Effects of changing climate on game-animal and human use of the Colorado high country (USA) since 1000 BC</t>
  </si>
  <si>
    <t>PRECISION BIDECADAL CALIBRATION; QUATERNARY EOLIAN DEPOSITION; RADIOCARBON TIME SCALE; MULE DEER; C-14 HISTOGRAMS; LICHEN GROWTH; FRONT RANGE; HIGH-PLAINS; SNOW; DATES</t>
  </si>
  <si>
    <t>Radiocarbon dates from prehistoric campsites and game-drive systems were used to develop a 3000-yr chronology of human population change at high altitude in the Colorado Front Range. Populations increased to record levels during the Late Prehistoric Period and then declined, tracking a probable warming-and-cooling trend. Superimposed on the long-term cycle were short-term oscillations that correlate closely with episodes of lichen snowkill inferred from the diameters of Rhizocarpon subgenus Rhizocarpon thalli in randomly selected 100-m(2) sample plots above tree limit. Transplant experiments and historical accounts of an epic storm in the spring of 1844 help understand the causes of lichen snowkill and its linkage to hunter-gatherers. During five periods of unknown duration between 1000 BC and AD 1230, vast areas above timberline remained snow covered for an average of at least 40 wk yr(-1). Upslope snowstorms triggered by low temperatures and by cut-off low pressure systems in the southwestern United States are thought to have been responsible. The snow caused elk (Cervus elaphus), bighorn sheep (Ovis canadensis), and mule deer (Odocoileus hemionus) to starve on their springtime ranges in the eastern Front Range foothills. It damaged important forage species above timberline, discouraging surviving game animals and their human predators from returning to high altitudes for many decades. Springtime snow became less important after AD 1230, when northwesterly airflow intensified and lichen mortality was restricted to the floors of expanded snowpatches in topographic catchments. Low temperatures, summer drought, and epidemic disease were characteristic of this part of the archaeological record. The study demonstrates that changes in the frequency of archaeological radiocarbon dates in extreme environments can provide useful proxy evidence for climatic change and a precise chronological framework in which to interpret discontinuous paleoenvironmental data. It cautions that the East Slope of the Front Range is vulnerable to upslope snowstorms larger and more frequent than any that have occurred since the beginning of meteorological observations in the region.</t>
  </si>
  <si>
    <t>Ctr Mt Archeol, Ward, CO 80481 USA</t>
  </si>
  <si>
    <t>Benedict, JB (corresponding author), Ctr Mt Archeol, 8297 Overland Rd, Ward, CO 80481 USA.</t>
  </si>
  <si>
    <t>FEB</t>
  </si>
  <si>
    <t>10.2307/1552617</t>
  </si>
  <si>
    <t>201VD</t>
  </si>
  <si>
    <t>WOS:000080616400003</t>
  </si>
  <si>
    <t>Syvitski, JP</t>
  </si>
  <si>
    <t>Syvitski, James P M/L-2008-2013</t>
  </si>
  <si>
    <t>III</t>
  </si>
  <si>
    <t>10.1080/15230430.1999.12003273</t>
  </si>
  <si>
    <t>WOS:000080616400001</t>
  </si>
  <si>
    <t>Behrendt, J</t>
  </si>
  <si>
    <t>Antarctic science then and now</t>
  </si>
  <si>
    <t>US Geol Survey, Washington, DC 20242 USA</t>
  </si>
  <si>
    <t>United States Department of the Interior; United States Geological Survey</t>
  </si>
  <si>
    <t>Behrendt, J (corresponding author), US Geol Survey, Washington, DC 20242 USA.</t>
  </si>
  <si>
    <t>IV</t>
  </si>
  <si>
    <t>10.2307/1552616</t>
  </si>
  <si>
    <t>WOS:000080616400002</t>
  </si>
  <si>
    <t>Parker, ER; Sanford, RL</t>
  </si>
  <si>
    <t>The effects of mobile tree islands on soil phosphorus concentrations and distribution in an alpine tundra ecosystem an Niwot Ridge, Colorado Front Range, USA</t>
  </si>
  <si>
    <t>ROCKY MOUNTAINS; FOREST SOILS; CARBON</t>
  </si>
  <si>
    <t>Niwot Ridge is populated by moving patches of trees chat form islands of woody vegetation in a habitat dominated by graminoids. This study determined the amounts and distribution of soil phosphorus (P) in relation to tree islands. As tree islands retreat to leeward, we hypothesize that the colonized soils would become both depleted in organic P (Po) and would possess more geochemically bound P than in the adjacent tundra. A modified Hedley sequential fractionation indicated that the individual soil P fractions, along with the sums of these fractions, did not differ significantly between tundra, windward, and leeward sites. Overall, soil P appears to be distributed in almost equal portions between geochemical and biological forms. The lack of significant change of soil P concentrations and distribution in response to tree island passage on Niwot Ridge is likely due to the lack of recent glaciation as well as a long history of infrequent perturbances.</t>
  </si>
  <si>
    <t>Univ Denver, Dept Biol Sci, Denver, CO 80208 USA</t>
  </si>
  <si>
    <t>University of Denver</t>
  </si>
  <si>
    <t>Sanford, RL (corresponding author), Univ Denver, Dept Biol Sci, Denver, CO 80208 USA.</t>
  </si>
  <si>
    <t>Parker, Eva Rawlings/JGM-7226-2023</t>
  </si>
  <si>
    <t>Parker, Eva Rawlings/0000-0002-2462-5051; Sanford, Robert/0000-0003-2391-9231</t>
  </si>
  <si>
    <t>10.2307/1552618</t>
  </si>
  <si>
    <t>WOS:000080616400004</t>
  </si>
  <si>
    <t>Exact growth and increased nitrogen compensation by the Arctic Sedge Carex aquatilis var. stans after simulated grazing</t>
  </si>
  <si>
    <t>SALT-MARSH; TUNDRA; DEFOLIATION; VEGETATION; MOVEMENT; PLANTS; GEESE; AREAS</t>
  </si>
  <si>
    <t>We investigated the effect of clipping on a natural stand of Carer aquatilis var. stans in Sverdrup Pass (79 degrees N), Ellesmere Island. We clipped plants up to four times each growing season for 4 yr to a height of 1.5 cm above the moss canopy to simulate natural grazing. Cumulative biomass production above 1.5 cm showed exact compensation of lost tissue after clipping and cumulative nitrogen accumulation above 1.5 cm increased significantly in the frequently clipped pints. The concentration of nitrogen in rhizomes did not decrease in heavily clipped plots, even at the end of four seasons of clipping. Nitrogen losses from plants as a result of clipping were apparently overcompensated by increased uptake of nitrogen. We concluded that the plants had the capacity to compensate for the loss of clipped tissue by producing new growth.</t>
  </si>
  <si>
    <t>Canadian Pk Agcy, Western Arctic Reg, Inuvik, NT X0E 0T0, Canada; Univ Toronto, Erindale Coll, Dept Biol, Mississauga, ON L5L 1C6, Canada</t>
  </si>
  <si>
    <t>University of Toronto; University Toronto Mississauga</t>
  </si>
  <si>
    <t>Raillard, MC (corresponding author), Canadian Pk Agcy, Western Arctic Reg, POB 1840, Inuvik, NT X0E 0T0, Canada.</t>
  </si>
  <si>
    <t>10.2307/1552619</t>
  </si>
  <si>
    <t>WOS:000080616400005</t>
  </si>
  <si>
    <t>Kume, A; Nakatsubo, T; Bekku, Y; Masuzawa, T</t>
  </si>
  <si>
    <t>Ecological significance of different growth forms of purple saxifrage, Saxifraga oppositifolia L., in the High Arctic, Ny-Alesund, Svalbard</t>
  </si>
  <si>
    <t>VEGETATION</t>
  </si>
  <si>
    <t>Saxifraga oppositifolia is morphologically variable, and many scientists recognize two morphs; the Prostrate form (P-form) and Cushion form (C-form). In order to investigate the adaptation of the different growth forms, we analyzed the relationships between growth forms, growth patterns, manner of reproduction, tolerance to disturbance and succession. The distribution of the third internode length of shoots showed bimodality, long-internode shoot, and short-internode shoot, and it was closely related with the growth form-P-form and C-form, respectively. When both C-form and P-form plants were growing in the same moist riverbank, they :had similar net photosynthesis per dry weight. The colony expansion rate of P-form was faster than C-form and the shoot fragments of P-form were easy to root and establish. On the other hand, C-form had a larger number of flowers per plant dry weight than P-form, and this caused an increase in seed production. These results showed that growth forms and reproductive characteristics were closely related, and P-form was advantageous in vegetative propagation by shoot fragments while C-form was advantageous in sexual reproduction. Morphological variability within population of S. oppositifolia appeared to be adaptive for this species as a pioneer in the primary succession in High Arctic where the selective forces vary spatially and temporally.</t>
  </si>
  <si>
    <t>Hiroshima Univ, Fac Integrated Arts &amp; Sci, Ctr Forest Decline Studies, Higashihiroshima 7398521, Japan; Hiroshima Univ, Fac Integrated Arts &amp; Sci, Dept Environm Studies, Higashihiroshima 7398521, Japan; Natl Inst Polar Res, Itabashi Ku, Tokyo 173, Japan; Shizuoka Univ, Fac Sci, Dept Biol, Ohya 422, Japan</t>
  </si>
  <si>
    <t>Hiroshima University; Hiroshima University; Research Organization of Information &amp; Systems (ROIS); National Institute of Polar Research (NIPR) - Japan; Shizuoka University</t>
  </si>
  <si>
    <t>Kume, A (corresponding author), Hiroshima Univ, Fac Integrated Arts &amp; Sci, Ctr Forest Decline Studies, Higashihiroshima 7398521, Japan.</t>
  </si>
  <si>
    <t>Kume, Atsushi/G-3523-2011; Nakatsubo, Takayuki/V-4520-2019</t>
  </si>
  <si>
    <t>Kume, Atsushi/0000-0002-0048-5680; Nakatsubo, Takayuki/0000-0003-3329-0123</t>
  </si>
  <si>
    <t>10.2307/1552620</t>
  </si>
  <si>
    <t>WOS:000080616400006</t>
  </si>
  <si>
    <t>Forman, SL</t>
  </si>
  <si>
    <t>Infrared and red stimulated luminescence doting of late quaternary near-shore sediments from Spitsbergen, Svalbard</t>
  </si>
  <si>
    <t>INTERGLACIAL-GLACIAL CYCLE; WESTERN SPITSBERGEN; THERMO-LUMINESCENCE; WEICHSELIAN SEQUENCE; MARINE-SEDIMENTS; K-FELDSPARS; BARENTS-SEA; NEW-ZEALAND; THERMOLUMINESCENCE; AGE</t>
  </si>
  <si>
    <t>This study examined the potential of infrared (IRSL) and red (RSL) stimulated luminescence to provide ages for fine-grained polymineral extracts from sublittoral strata from deglacial-emergence sequences on Broggerhalvoya, Linnedalen, and Kapp Ekholm, west Spitsbergen. IRSL analyses of modern and ca. 12-ka-old sediment indicate that residual levels defined after 10 and 60 min of filtered sunlight provide close minimum and maximum age estimates, respectively, whereas full solar resetting gave age overestimates by 2 to 18 ka. Although red stimulation yields concordant ages for modern and Holocene sediments, RSL is not currently as robust a geochronometer as IRSL, but is a complementary measure. to evaluate IRSL age estimates. Sublittoral strata from the penultimate deglacial sequence (Episode B) on Broggerhalvoya gave IRSL and RSL ages of ca. 80 +/- 10 ka and presumably correlative strata from Kapp Ekholm and Linnedalen yielded IRSL ages of ca, 70 +/- 10 ka. Pre-penultimate deglacial event sediments (Episode C) from Broggerhalvoya gave bracketing average IRSL ages of 118 +/- 17 and 153 +/- 21 ka. IRSL analyses for Formation B at Kapp Ekholm is less definitive with average minimum and maximum ages of 117 +/- 19 ka and 195 +/- 13 ka; the latter age is favored, although it is substantially older than a previously reported age of ca. 120 ka. IRSL is a more consistent geochronometer for dating waterlain sediments from Spitsbergen than TL, but there still remains considerable variability in the extent of solar resetting of IRSL of sublittoral sediments, that erodes precision particularly for ages &lt;50 ka. These new luminescence age estimates indicate deglacial events at ca. 70, 140, and potentially at 190 ka that generally correspond to the early and later parts of Oxygen Isotope Stage 5 and late Stage 7. The inferred timing of deglacial events indicate that demise of a marine-based Barents Sea ice sheet may be associated with rising global sea level into an interglacial or an interstadial, rather than purely radiative forcing.</t>
  </si>
  <si>
    <t>Univ Illinois, Dept Earth &amp; Environm Sci, Chicago, IL 60607 USA</t>
  </si>
  <si>
    <t>University of Illinois System; University of Illinois Chicago; University of Illinois Chicago Hospital</t>
  </si>
  <si>
    <t>Univ Illinois, Dept Earth &amp; Environm Sci, 845 W Taylor St, Chicago, IL 60607 USA.</t>
  </si>
  <si>
    <t>SLF@uic.edu</t>
  </si>
  <si>
    <t>Forman, Steven/ABD-7720-2021</t>
  </si>
  <si>
    <t>Forman, Steven/0000-0002-2080-7915</t>
  </si>
  <si>
    <t>10.2307/1552621</t>
  </si>
  <si>
    <t>WOS:000080616400007</t>
  </si>
  <si>
    <t>Syvitski, JP; Jennings, AE; Andrews, JT</t>
  </si>
  <si>
    <t>High-resolution seismic evidence for multiple glaciation across the southwest Iceland shelf</t>
  </si>
  <si>
    <t>LAST DEGLACIATION; NORTHERN ICELAND; ICE-SHEET; SEA-LEVEL; PLEISTOCENE; HISTORY; PLIOCENE</t>
  </si>
  <si>
    <t>Geophysical and lithological data collected from the southwest margin of Iceland provide clear evidence of multiple glaciations across the shelf, many of which reached the shelf-slope break. These paleo-ice sheets delivered much glacial sediment to the slope facing Denmark Strait. A large moraine some 20 to 100 m in height lies at the shelf break due west of Latra Bank. The moraine may mark the Late Weichselian extent of the western Iceland ice, although a single date from a 50-cm gravity core collected from the seaward side of the moraine provided an age of 35,650 +/- 560 (14)C BP. Retreat of this ice sheet appears to have been rapid, except For a minor pause when the ice sheet terminus approached the coastline. A marine reservoir-corrected basal date of 12,705 +/- 85 (14)C BP was obtained from a 17-m giant piston core collected in Jokuldjup (a shelf trough) which sampled glacial marine sediments close to underlying ice-contact sediment. Because this date is very close to the age of shells near the marine limit in West Iceland, some 100 km to the east-northeast, it suggests that this margin of the Iceland Ice Sheet retreated extremely rapidly during the Bolling/Allerod interstadial (13,000 to 11,000 (14)C BP).</t>
  </si>
  <si>
    <t>Univ Colorado, Inst Arctic &amp; Alpine Res, Boulder, CO 80309 USA; Univ Colorado, Dept Geol Sci, Boulder, CO 80309 USA</t>
  </si>
  <si>
    <t>Syvitski, JP (corresponding author), Univ Colorado, Inst Arctic &amp; Alpine Res, Boulder, CO 80309 USA.</t>
  </si>
  <si>
    <t>james.syvitski@colorado.edu</t>
  </si>
  <si>
    <t>10.2307/1552622</t>
  </si>
  <si>
    <t>WOS:000080616400008</t>
  </si>
  <si>
    <t>Chikita, K; Jha, J; Yamada, T</t>
  </si>
  <si>
    <t>Hydrodynamics of a supraglacial lake anti its effect on the basin expansion: Tsho Rolpa, Rolwaling Valley, Nepal Himalaya</t>
  </si>
  <si>
    <t>The thermal structure and hydrodynamics of supraglacial Tsho Rolpa Lake (27 degrees 51'N, 86 degrees 29'E) in the Nepal Himalaya were examined in the premonsoon of 1996. We continuously measured flow velocity, water temperature, and turbidity with moored self-recording current meters, temperature data loggers, and turbidimeters. Vertical measurements (every 0.2 m in depth) of water temperature and turbidity were also made by lowering a self-recording sonde, Tsho Rolpa Lake (surface area, 1.39 km(2) at present) has increased in size since late 1950s (surface area, 0.23 km(2) in 1958) by both glacial ice melt below the lake bottom and the retreat of the glacier terminus. Lake stratification is defined by suspended sediment concentration (SSC) rather than by temperature. The suspended sediment is mostly silt and clay (d &lt; 15.6 mu m), which is supplied by the meltwater discharge from a subaqueous tunnel portal into the lake at the glacier terminus. The sediment is transported to the deepest zone of the lake by underflows and diffused by advection by the other currents into the upper zone. The observations revealed that a diurnal valley wind produces a vertical water circulation in the quasi-isopycnal surface layer, which is about 27 m deep. This circulation transports the surface water, heated mostly by solar radiation, toward the glacier terminus and consequently forces relatively warm water (&gt;similar to 5 degrees C) into continual contact with the glacier terminus. This warm water contact could induce calving of the upper glacier-ice by increasingly melting the subaqueous lower part.</t>
  </si>
  <si>
    <t>Hokkaido Univ, Grad Sch Sci, Div Earth &amp; Planetary Sci Geophys, Sapporo, Hokkaido 0600810, Japan; Minist Water Resources, Water &amp; Energy Commiss Secretariat, Kathmandu, Nepal; Hokkaido Univ, Inst Low Temp Sci, Sapporo, Hokkaido 0600819, Japan</t>
  </si>
  <si>
    <t>Hokkaido University; Hokkaido University</t>
  </si>
  <si>
    <t>Chikita, K (corresponding author), Hokkaido Univ, Grad Sch Sci, Div Earth &amp; Planetary Sci Geophys, Sapporo, Hokkaido 0600810, Japan.</t>
  </si>
  <si>
    <t>10.2307/1552623</t>
  </si>
  <si>
    <t>WOS:000080616400009</t>
  </si>
  <si>
    <t>Turney, CSM</t>
  </si>
  <si>
    <t>Lacustrine bulk organic δ13C in the British Isles during the last glacial-Holocene transition (14-9 ka 14C BP)</t>
  </si>
  <si>
    <t>LATEGLACIAL PALEOENVIRONMENTAL RECORD; CARBON ISOTOPE FRACTIONATION; LAKE-SEDIMENTS; ICE CORE; SOUTHERN SWEDEN; ATMOSPHERIC CO2; WHITRIG BOG; SE SCOTLAND; VEDDE ASH; CLIMATE</t>
  </si>
  <si>
    <t>Bulk organic delta(13)C records are presented from five last glacial-Holocene transition lacustrine sequences (14-9 ka C-14 BP) on a north-south transect across the British Isles. The data confirm that bulk organic delta(13)C is an amalgam of processes operating within the catchment and lake systems. Significant shifts in bulk organic delta(13)C values are recorded across important climatic boundaries, though their synchroneity is questionable. Either the shifts are not observed at the sites or they do not appear to be synchronous, suggesting that site-specific factors play an important role. Potential controls are discussed within the context of climatic change in the North Atlantic region.</t>
  </si>
  <si>
    <t>NERC, Radiocarbon Lab, Glasgow G75 0QU, Lanark, Scotland; Univ London Royal Holloway &amp; Bedford New Coll, Dept Geog, Quaternary Res Ctr, Egham TW20 0EX, Surrey, England</t>
  </si>
  <si>
    <t>UK Research &amp; Innovation (UKRI); Natural Environment Research Council (NERC); NERC British Geological Survey; University of London; Royal Holloway University London</t>
  </si>
  <si>
    <t>Turney, CSM (corresponding author), Australian Natl Univ, Res Sch Earth Sci, Canberra, ACT 0200, Australia.</t>
  </si>
  <si>
    <t>Turney, Chris/P-8701-2018</t>
  </si>
  <si>
    <t>Turney, Chris/0000-0001-6733-0993</t>
  </si>
  <si>
    <t>10.2307/1552624</t>
  </si>
  <si>
    <t>WOS:000080616400010</t>
  </si>
  <si>
    <t>Pienitz, R; Smol, JP; MacDonald, GM</t>
  </si>
  <si>
    <t>Paleolimnological reconstruction of Holocene climatic trends from two boreal treeline lakes, Northwest Territories, Canada</t>
  </si>
  <si>
    <t>DISSOLVED ORGANIC-MATTER; FRESH-WATER ECOSYSTEMS; QUANTITATIVE INDICATORS; ENVIRONMENTAL VARIABLES; ATMOSPHERIC DEPOSITION; ULTRAVIOLET-RADIATION; CHEMICAL LIMNOLOGY; DIATOM ASSEMBLAGES; VEGETATION CHANGE; ALPINE LAKE</t>
  </si>
  <si>
    <t>Paleolimnological analyses of two lakes located near the northern treeline in the central part of the Canadian Northwest Territories document a history of abrupt postglacial climatic and limnological changes. A diatom-based transfer function, based on weighted-averaging partial least squares regression (WA-PLS) techniques, was used to give quantitative estimates of past trends in lakewater dissolved organic carbon (DOC), a Limnological variable strongly aligned with catchment vegetation and soils. The diatom record from the sediment cores provides evidence for profound limnologic change during the mid-Holocene, corresponding to maximum Forest-tundra development between 5000 and 3000 C-14 yr BP in both Queen's and Toronto lakes, with a diatom-inferred relative change in lakewater DOC of up to 5.8 mg L between the mid-Halocene and the present-day. Comparison of the diatom-inferred environmental changes with other proxy data (pollen, stable isotopes) from the same lakes provides strong evidence for an episode of climatic amelioration and lake responses to the associated vegetational changes (from tundra to forest-tundra) at sites near the central Canadian treeline. This study illustrates the usefulness of diatoms as quantitative indicators of past climate-related environmental change in northern treeline regions, and implies that aquatic ecosystems at high latitudes might respond with extreme sensitivity to climate warming.</t>
  </si>
  <si>
    <t>Univ Laval, CEN, Quebec City, PQ G1K 7P4, Canada; Univ Laval, Dept Geog, Quebec City, PQ G1K 7P4, Canada; Queens Univ, Dept Biol, PEARL, Kingston, ON K7L 3N6, Canada; Univ Calif Los Angeles, Dept Geog, Los Angeles, CA 90095 USA</t>
  </si>
  <si>
    <t>Laval University; Laval University; Queens University - Canada; University of California System; University of California Los Angeles</t>
  </si>
  <si>
    <t>Univ Laval, CEN, Quebec City, PQ G1K 7P4, Canada.</t>
  </si>
  <si>
    <t>reinhard.pienitz@cen.ulaval.ca</t>
  </si>
  <si>
    <t>Smol, John P/A-8838-2015</t>
  </si>
  <si>
    <t>Smol, John/0000-0002-2499-6696</t>
  </si>
  <si>
    <t>10.2307/1552625</t>
  </si>
  <si>
    <t>WOS:000080616400011</t>
  </si>
  <si>
    <t>Elias, SA; Andrews, JT; Anderson, KH</t>
  </si>
  <si>
    <t>Insights on the climatic constraints on the beetle fauna of Coastal Alaska, USA, derived from the Mutual Climatic Range method of paleoclimate reconstruction</t>
  </si>
  <si>
    <t>SEASONAL TEMPERATURES; ASSEMBLAGES</t>
  </si>
  <si>
    <t>The Mutual Climatic Range (MCR) method of paleoclimate reconstruction uses the climatic parameters associated with the modem range of species to produce climate envelopes for taxa found in fossil assemblages. The overlap of these climate envelopes produces a mutual climatic range For fossil assemblages. The method employs predatory and scavenging beetle species found in fossil assemblages. By comparing observed versus predicted mean summer and winter temperatures from MCR we developed a set of calibration equations Ear fossil beetle assemblages in Alaska and the Yukon Territory. These equations showed that MCR predictions fit the observed mean temperatures of the warmest month (TMAX) reasonably well, but the predictions of mean temperatures for the coldest month (TMIN) for coastal sites were consistently below the observed values. Thus the beetle communities living in coastal Alaska today are indicative of colder winter temperatures than are indicated by the observed TMIN, and such lack of correlation is a difficulty in applying the MCR method and in estimating paleoclimates in Beringia. We postulate that periods of severely cold weather in coastal regions are sufficiently common to eliminate species adapted to maritime climates. Instead we find in coastal localities more cold-resistant species whose principal ranges are in interior regions. These species are adapted to continental climates (with extreme seasonality of temperatures), rather than maritime climates (with reduced seasonality). Another difficulty in estimating paleoclimates of Beringia is that the coastal geography has changed with each glacial/interglacial cycle. Glacial and interstadial sites that lie near the modern coast were subject to continental, rather than maritime climates.</t>
  </si>
  <si>
    <t>Elias, SA (corresponding author), Univ Colorado, Inst Arctic &amp; Alpine Res, Campus Box 450, Boulder, CO 80309 USA.</t>
  </si>
  <si>
    <t>Elias, Scott/ISB-2829-2023</t>
  </si>
  <si>
    <t>Elias, Scott/0000-0002-1498-1060</t>
  </si>
  <si>
    <t>10.2307/1552626</t>
  </si>
  <si>
    <t>WOS:000080616400012</t>
  </si>
  <si>
    <t>Bennett, MR; Huddart, D; Glasser, NF</t>
  </si>
  <si>
    <t>Large-scale bedrock displacement by cirque glaciers</t>
  </si>
  <si>
    <t>RATES; SPITSBERGEN; SVALBARD</t>
  </si>
  <si>
    <t>Three moraine complexes containing large rafts of fractured-bedrock formed by small cirque glaciers occur in Reindalen, Svalbard. Glaciotectonic landforms cored by rock rafts have been described from mid-latitude ice sheets of Pleistocene age in the past, but we believe this to be the first time large-scale bedrock rafts have been reported from moraines formed by small cirque glaciers. These moraine complexes consist of an imbricate stack of thrust slabs composed of fractured-bedrock and diamicton. Although the exact mechanism are unclear, we suggest that these moraines form by the displacement of subhorizontal strata within the cirque floor to form an initial stack of rock-cored thrust slabs, which subsequently confine the cirque glacier. Subsequent glacier advances, against this barrier, establishes a strong compressive regime within the glacier snout, which leads to erosion and moraine development. Estimates of the thickness of the rock rafts are used to derive erosion rates, which are an order of magnitude greater than those previously reported for arctic regions.</t>
  </si>
  <si>
    <t>Univ Greenwich, Sch Earth &amp; Environm Sci, Chatham ME4 4TB, Kent, England; Liverpool John Moores Univ, Sch Educ &amp; Community Studies, Liverpool L17 6BD, Merseyside, England; Liverpool John Moores Univ, Sch Biol &amp; Earth Sci, Liverpool L3 3AF, Merseyside, England</t>
  </si>
  <si>
    <t>University of Greenwich; Liverpool John Moores University; Liverpool John Moores University</t>
  </si>
  <si>
    <t>Univ Greenwich, Sch Earth &amp; Environm Sci, Medway Campus, Chatham ME4 4TB, Kent, England.</t>
  </si>
  <si>
    <t>m.r.bennett@greenwich.ac.uk</t>
  </si>
  <si>
    <t>Glasser, Neil F/C-1971-2012</t>
  </si>
  <si>
    <t>Glasser, Neil/0000-0002-8245-2670; Bennett, Matthew/0000-0002-3063-8844</t>
  </si>
  <si>
    <t>10.2307/1552627</t>
  </si>
  <si>
    <t>WOS:000080616400013</t>
  </si>
  <si>
    <t>Liébault, F; Clément, P; Piégay, H; Landon, N</t>
  </si>
  <si>
    <t>Assessment of bedload delivery from tributaries:: The Drome River case, France</t>
  </si>
  <si>
    <t>SPANISH PYRENEES; SEDIMENT</t>
  </si>
  <si>
    <t>This paper examines the potential to reverse bed degradation trends in the Drome River (southeast France), a prealpine gravel-bed stream, by assessing coarse sediment supply in tributary subbasins. Two approaches are developed. First, a Principal Component Analysis was performed on 24 subwatersheds to characterize the most productive ones. Second, fieldwork and aerial photographs provide detailed assessment for two mountain streams, one characterized by abundant bedload (the Esconavette Creek), the other characterized by 30 yr of inactivity (the Barnavette Creek). Active tributaries (with developed active gravel bars) have been discriminated according to variables describing watershed sediment storage and production potential. Variables describing human intervention on erosion and vegetation cover appear to exert secondary influences on geomorphic activity in a context of general geomorphic stabilization. Declining activity associates features such as bed incision, channel narrowing, and vegetation development in riparian buffer strips in the two mountain streams studied. They are more frequent on the Barnavette Creek the inactivity of which is partly explained by smaller lateral inputs from valley-filling.</t>
  </si>
  <si>
    <t>Univ Lyon 2, Lab Rhodanien Geomorphol, F-69676 Bron, France; Environm Ville Soc, CNRS, UMR 5600, F-69362 Lyon 07, France</t>
  </si>
  <si>
    <t>Universite Lyon 2; Centre National de la Recherche Scientifique (CNRS); Ecole Normale Superieure de Lyon (ENS de LYON); Institut National des Sciences Appliquees de Lyon - INSA Lyon; Universite Jean Monnet; Universite Jean Moulin Lyon 3; Universite Lyon 2; CNRS - Institute of Ecology &amp; Environment (INEE)</t>
  </si>
  <si>
    <t>Liébault, F (corresponding author), Univ Lyon 2, Lab Rhodanien Geomorphol, 5 Av Pierre Mendes France, F-69676 Bron, France.</t>
  </si>
  <si>
    <t>10.2307/1552628</t>
  </si>
  <si>
    <t>WOS:000080616400014</t>
  </si>
  <si>
    <t>The epidemiology of cold injury in Antarctica</t>
  </si>
  <si>
    <t>wounds and injuries (epidemiology); wounds and injuries (etiology); cold climate; frostbite; hypothermia; immersion foot; Antarctic regions; skiing; expeditions; off-road motor vehicles</t>
  </si>
  <si>
    <t>FROSTBITE INJURIES</t>
  </si>
  <si>
    <t>Method: A retrospective stud; was performed of 10 yr of medical records to determine the type, severity, etiological factors and treatment of cold injury experienced by members of the British Antarctic Survey between 1986-95. Results: There were 61 new consultations for cold injury. These comprised 2.5% of all new consultations with an incidence of 65.6 per 1000 per year. Cold injuries seen were frostbite (95%), hypothermia (3%) and trench foot (2%). Superficial frostbite was the most common injury (74% of cases) with the face the most frequently affected area (47% of injuries). No cases of frostbite severe enough to cause permanent tissue loss were seen. The prevalence of cold injury increased with falling temperature to a maximum between -25 and -35 degrees C, despite these temperatures occurring infrequently. The relationship with windchill is not as clear cut with frequency of injury tending to follow the frequency of windchill values except at higher windchill values. Neither temperature nor windchill were found to significantly influence the severity of frostbite. Prior cold injury was shown to be significantly (chi(2) p &lt; 0.001) associated with further cold injury. Most injuries (78%) occurred during recreation; skiing and snowmobile driving were often implicated. Conclusions: Cold injury is uncommon in Antarctica. Despite this, it warrants a continued high profile as under most circumstances it may be regarded as an entirety preventable occurrence.</t>
  </si>
  <si>
    <t>RGIT Ltd, British Antarctic Survey, Med Unit, Aberdeen AB24 5BJ, Scotland</t>
  </si>
  <si>
    <t>Cattermole, TJ (corresponding author), RGIT Ltd, British Antarctic Survey, Med Unit, 338 King St, Aberdeen AB24 5BJ, Scotland.</t>
  </si>
  <si>
    <t>162DA</t>
  </si>
  <si>
    <t>WOS:000078329100006</t>
  </si>
  <si>
    <t>Bingham, BL; Reyns, NB</t>
  </si>
  <si>
    <t>Ultraviolet radiation and distribution of the solitary ascidian Corella inflata (Huntsman)</t>
  </si>
  <si>
    <t>BIOLOGICAL BULLETIN</t>
  </si>
  <si>
    <t>ANTARCTIC MARINE ORGANISMS; PROTECTION; EGGS</t>
  </si>
  <si>
    <t>The solitary ascidian Corella inflata is a common fouling organism in many areas of Puget Sound and the San Juan Archipelago, Washington, USA. Despite its abundance, it is conspicuously absent from areas that receive direct sunlight. Previous work suggests that ascidians in unshaded habitats can be overgrown and killed by algal overgrowth. In this study, we tested the hypothesis that UV irradiation contributes to C inflata distribution by killing individuals exposed to direct sunlight. To test this, we exposed C. inflata embryos, larvae, juveniles, and adults to UV irradiation and measured the responses. We also tested for UV-absorbing compounds in larvae, juveniles, and adults. In the laboratory, UV significantly damaged all life stages; the earliest stages were most vulnerable. A 3-week UV exposure significantly shortened adult life span. Juveniles suffered 100% mortality after only 3 days. Tadpole larvae decreased settlement and metamorphosis after 1 day of UV exposure, and embryos exhibited developmental abnormalities after only 30 minutes of exposure. None of the life-history stages had apparent UV-absorbing compounds. Given the vulnerability of this species to UV, we suggest that its unique life-history traits (i.e., time of spawning, brooding behavior, length of larval life) help it persist in its preferred habitat and avoid dispersal into inappropriate, UV-exposed areas.</t>
  </si>
  <si>
    <t>Western Washington Univ, Huxley Coll Environm Studies, Bellingham, WA 98225 USA; SUNY Stony Brook, Marine Sci Res Ctr, Stony Brook, NY 11794 USA</t>
  </si>
  <si>
    <t>Western Washington University; State University of New York (SUNY) System; State University of New York (SUNY) Stony Brook</t>
  </si>
  <si>
    <t>Western Washington Univ, Huxley Coll Environm Studies, Bellingham, WA 98225 USA.</t>
  </si>
  <si>
    <t>bingham@cc.wwu.edu</t>
  </si>
  <si>
    <t>Reyns, Nathalie/P-1242-2016</t>
  </si>
  <si>
    <t>Reyns, Nathalie/0000-0002-9967-0199</t>
  </si>
  <si>
    <t>1427 E 60TH ST, CHICAGO, IL 60637-2954 USA</t>
  </si>
  <si>
    <t>0006-3185</t>
  </si>
  <si>
    <t>1939-8697</t>
  </si>
  <si>
    <t>BIOL BULL-US</t>
  </si>
  <si>
    <t>Biol. Bull.</t>
  </si>
  <si>
    <t>10.2307/1543171</t>
  </si>
  <si>
    <t>Biology; Marine &amp; Freshwater Biology</t>
  </si>
  <si>
    <t>Life Sciences &amp; Biomedicine - Other Topics; Marine &amp; Freshwater Biology</t>
  </si>
  <si>
    <t>170YT</t>
  </si>
  <si>
    <t>WOS:000078835400011</t>
  </si>
  <si>
    <t>Weimerskirch, H; Catard, A; Prince, PA; Cherel, Y; Croxall, JP</t>
  </si>
  <si>
    <t>Foraging white-chinned petrels Procellaria aequinoctialis at risk:: from the tropics to Antarctica</t>
  </si>
  <si>
    <t>BIOLOGICAL CONSERVATION</t>
  </si>
  <si>
    <t>longline fisheries; satellite tracking; Antarctic; foraging range; conservation; CCAMLR</t>
  </si>
  <si>
    <t>WANDERING ALBATROSSES; SATELLITE TRACKING; LONGLINE FISHERY; MORTALITY; SEABIRDS</t>
  </si>
  <si>
    <t>In the Southern Ocean white-chinned petrels Procellaria aequinoctialis form the majority of the bird bycatch in longline fisheries. Satellite tracking of breeding birds from the Crozet islands and from South Georgia indicates that during incubation they have the longest mean foraging ranges ever recorded for a seabird, 2390 and 2190 km. Crozet birds travel to the coast of South Africa at 3495 km, into subtropical waters as well as to Antarctic waters. South Georgia birds reach the northern Patagonian shelf. In all these areas birds are potentially in contact with fisheries. These results indicate that conservation measures limited to Antarctic waters are insufficient to protect seabirds with such extensive foraging ranges. (C) 1998 Elsevier Science Ltd. All rights reserved.</t>
  </si>
  <si>
    <t>CNRS, Ctr Etud Biol Chize, F-79360 Beauvoir, France; British Antarctic Survey, Cambridge CB3 0ET, England</t>
  </si>
  <si>
    <t>Centre National de la Recherche Scientifique (CNRS); UK Research &amp; Innovation (UKRI); Natural Environment Research Council (NERC); NERC British Antarctic Survey</t>
  </si>
  <si>
    <t>Weimerskirch, H (corresponding author), CNRS, Ctr Etud Biol Chize, F-79360 Beauvoir, France.</t>
  </si>
  <si>
    <t>Weimerskirch, Henri/F-5562-2013; Weimerskirch, Henri/K-7306-2019</t>
  </si>
  <si>
    <t>Weimerskirch, Henri/0000-0002-0457-586X</t>
  </si>
  <si>
    <t>0006-3207</t>
  </si>
  <si>
    <t>BIOL CONSERV</t>
  </si>
  <si>
    <t>Biol. Conserv.</t>
  </si>
  <si>
    <t>10.1016/S0006-3207(98)00039-1</t>
  </si>
  <si>
    <t>148EN</t>
  </si>
  <si>
    <t>WOS:000077491900014</t>
  </si>
  <si>
    <t>Chown, SL; Gaston, KJ</t>
  </si>
  <si>
    <t>Exploring links between physiology and ecology at macro-scales: the role of respiratory metabolism in insects</t>
  </si>
  <si>
    <t>range edges; tolerances; latitudinal clines; body size; oxygen uptake; development</t>
  </si>
  <si>
    <t>LIFE-HISTORY VARIATION; TICK RHIPICEPHALUS-APPENDICULATUS; SUB-ANTARCTIC WEEVILS; COMPARATIVE NUTRITIONAL ECOLOGY; CRICKET ALLONEMOBIUS-SOCIUS; RANGE-SIZE DISTRIBUTIONS; TRANSPIRATORY WATER-LOSS; SENSED VEGETATION DATA; DESERT HARVESTER ANT; COMMON FLY BELT</t>
  </si>
  <si>
    <t>The relationships between macro-ecological patterns and physiological investigations in insects, especially those dealing with respiratory metabolism, are assessed in an attempt to encourage the development of the interaction between macroecology and physiological ecology. First, we demonstrate that although physiological ecology has been explicitly concerned with a number of issues relating to species boundaries, many questions remain unanswered. We argue that there are essentially two ways in which the relationship between physiological tolerances and species range boundaries have been investigated. The correlational approach involves physiological inference, physiological prediction, isocline analyses and climatic matching, and has often been criticized for a lack of rigour, while the experimental approach seeks to examine experimentally the relationships between physiological variables and range edges. Second, we use the recent debate on processes underlying latitudinal patterns in body size to caution against the conflation of patterns and processes operating at intraspecific and interspecific levels, the dangers inherent in invoking single explanatory variables, and an undue focus on adaptationist (e.g. optimization) rather than nonadaptationist explanations or some combination of the two. We show that both positive and negative relationships between body size and latitude have been found at the intraspecific level and suggest that interactions between temperature-induced heterochrony, and the relationship between habitat durational stability, growing season length, and generation time can be used to explain these differences. Similar variation in documented patterns is demonstrated at the interspecific level, and the mechanisms usually proffered to explain such dines (especially the starvation/desiccation-resistance hypothesis) are discussed. Interactions between various environmental factors, such as host-plant quality, and their effects on size dines are also discussed. Third, we argue that respiratory metabolism, as a measure of ATP cost, and its spatiotemporal variation are critical to many explanations of macroecological patterns. Adaptive changes in metabolism reputedly involve both depression (stress resistance) and elevation of metabolic rate, although recent studies are increasingly calling these ideas into question. In particular, flow-through respirometry is revolutionizing results by allowing careful separation of resting (or standard) and active metabolic rates. These techniques have rarely been applied to studies of metabolic cold adaptation in insects, one of the most polemical adaptations ascribed to high-latitude and high-altitude species. We conclude by arguing that physiological investigations of species tolerances are important in the context of macroecology, especially species distributional patterns and the possible impact of climate change thereon. However, we caution that relationships between abiotic variables, species tolerances, and distributional ranges may be non-linear and subject to considerable modification by the presence of other species, and that many of the pressing questions posed by macroecology have not been addressed by insect physiologists. Nonetheless, we suggest that because an understanding of the dynamics of species distributions is of considerable importance, especially in the context of current conservation problems, insect physiological ecology has much future scope.</t>
  </si>
  <si>
    <t>Univ Pretoria, Dept Zool &amp; Entomol, ZA-0002 Pretoria, South Africa; Univ Sheffield, Dept Anim &amp; Plant Sci, Sheffield S10 2TN, S Yorkshire, England</t>
  </si>
  <si>
    <t>University of Pretoria; University of Sheffield</t>
  </si>
  <si>
    <t>Univ Pretoria, Dept Zool &amp; Entomol, ZA-0002 Pretoria, South Africa.</t>
  </si>
  <si>
    <t>slchown@zoology.up.ac.za</t>
  </si>
  <si>
    <t>Chown, Steven L/H-3347-2011; Chown, Steven/ABD-7646-2021</t>
  </si>
  <si>
    <t>10.1017/S000632319800526X</t>
  </si>
  <si>
    <t>200TG</t>
  </si>
  <si>
    <t>WOS:000080555700003</t>
  </si>
  <si>
    <t>Yonei, T; Hagino, H; Katagiri, H; Kishimoto, H</t>
  </si>
  <si>
    <t>Bone metabolic changes in Antarctic wintering team members</t>
  </si>
  <si>
    <t>BONE</t>
  </si>
  <si>
    <t>bone mineral density; biochemical bone markers; vitamin D; ultraviolet; Antarctica</t>
  </si>
  <si>
    <t>PARATHYROID-HORMONE; SEASONAL-VARIATIONS; JAPANESE; WOMEN; DENSITOMETRY</t>
  </si>
  <si>
    <t>Bone mass, bone metabolic markers, and calcium regulation hormones were measured in members of an Antarctic wintering team who stayed at the Japanese Antarctic station, Syowa (latitude: south 69 degrees 00', longitude: east 39 degrees 35') for 1 year. Subjects included 31 healthy Japanese males, aged 24-51 years (mean age 34.5 years) at the beginning of this study, ingesting 488 IU/day of vitamin D and 550.9 mg/day of calcium per person. The long-term coefficient of variation (CV) of the equipment used in the assessments of bone mass was 0.67% in single X-ray absorptiometry (SXA), 0.17% in the speed of sound (SOS) by quantitative ultrasound method (QUS), and 0.63% in broadband ultrasound attenuation (BUA) by QUS, The seasonal changes in the calcaneal bone mineral density (BMD) by SXA were not significant, whereas the SOS measured by QUS decreased during the measurement period (0.55%,p &lt; 0.001), and BUA increased (1.9%, p &lt; 0.01). Bone-specific alkaline phosphatase and osteocalcin levels increased significantly during summer (p &lt; 0.001) and urinary calcium level decreased significantly during winter (p &lt; 0.05). Urinary pyridinoline and deoxypyridinoline levels decreased significantly at the end of winter (p &lt; 0.001). Serum 1,25(OH)(2)D-3 level did not change significantly, whereas serum 25(OH)D-3 level decreased significantly during winter (p &lt; 0.001). Serum parathyroid hormone (PTH) level significantly increased at the end of winter (p &lt; 0.01), although both PTH level and 25(OH)D, level remained within the normal range. We concluded that the 25(OH)D, level in subjects who stayed in Antarctica for 1 year decreased significantly with the reduction in duration of sunshine, but there were no clear changes in bone mass. (Bone 24:145-150; 1999) (C) 1999 by Elsevier Science Inc. All rights reserved.</t>
  </si>
  <si>
    <t>Tottori Univ, Fac Med, Dept Orthopaed Surg, Yonago, Tottori 6838503, Japan</t>
  </si>
  <si>
    <t>Tottori University</t>
  </si>
  <si>
    <t>Yonei, T (corresponding author), Tottori Univ, Fac Med, Dept Orthopaed Surg, 36-1 Nishimachi, Yonago, Tottori 6838503, Japan.</t>
  </si>
  <si>
    <t>8756-3282</t>
  </si>
  <si>
    <t>Bone</t>
  </si>
  <si>
    <t>10.1016/S8756-3282(98)00162-8</t>
  </si>
  <si>
    <t>Endocrinology &amp; Metabolism</t>
  </si>
  <si>
    <t>160LH</t>
  </si>
  <si>
    <t>WOS:000078231800013</t>
  </si>
  <si>
    <t>Gardiner, KJ; Boyd, IL; Follett, BK; Racey, PA; Reijnders, PJH</t>
  </si>
  <si>
    <t>Changes in pituitary, ovarian, and testicular activity in harbour seals (Phoca vitulina) in relation to season and sexual maturity</t>
  </si>
  <si>
    <t>HALICHOERUS-GRYPUS; PROGESTERONE CONCENTRATIONS; PLASMA PROGESTERONE; ANNUAL CYCLE; COMMON SEAL; THYROIDECTOMY; REGRESSION; LACTATION; PREGNANCY; BIRTH</t>
  </si>
  <si>
    <t>This study examined pituitary sensitivity to exogenous gonadotrophin-releasing hormone (GnRH) in relation to time of year and changes in plasma progesterone, testosterone, luteinising hormone (LH), and follicle-stimulating hormone (FSH) concentrations during the annual cycle of adult and juvenile harbour seals (Phoca vitulina vitulina). There was no significant difference in seasonal changes in reproductive hormone levels between six captive individuals and seals caught from the wild (n = 80). Based on results from both the captive and the wild individuals, the plasma progesterone concentration was elevated in late gestation, whereas it declined at the equivalent time in nonpregnant females. The progesterone concentration was also elevated during the phase of delayed implantation, but there was no difference between pregnant and nonpregnant seals. In captive seals given exogenous GnRH, the LH concentration peaked 10-20 min after injection of GnRH, and the magnitude of the LH response depended upon the dose up to similar to 120 ng.kg(-1). FSH did not respond to GnRH in the time course of the experiment. Pituitary sensitivity to GnRH was greatest in the summer and autumn and lowest in the winter and spring. Seasonal changes in pituitary sensitivity were apparent in both adults and juveniles. There was evidence that three of the four juvenile seals attained puberty during the study. We conclude that the seasonal patterns of pituitary sensitivity and plasma hormone concentration in harbour seals are consistent with a reproductive cycle under photoperiodic control and with the general mechanisms underlying photoperiodic control of seasonal reproduction in higher vertebrates.</t>
  </si>
  <si>
    <t>British Antarctic Survey, NERC, Cambridge CB3 0ET, England; Univ Aberdeen, Dept Zool, Aberdeen AB24 2TZ, Scotland; DLO, Inst Forest &amp; Nat Res, IBN, NL-1790 AD Den Burg, Texel, Netherlands; Univ Warwick, Off Vice Chancellor, Coventry CV4 7AL, W Midlands, England</t>
  </si>
  <si>
    <t>UK Research &amp; Innovation (UKRI); Natural Environment Research Council (NERC); NERC British Antarctic Survey; University of Aberdeen; University of Warwick</t>
  </si>
  <si>
    <t>reijnders, peter/0000-0002-3783-8283</t>
  </si>
  <si>
    <t>CANADIAN SCIENCE PUBLISHING, NRC RESEARCH PRESS</t>
  </si>
  <si>
    <t>10.1139/cjz-77-2-211</t>
  </si>
  <si>
    <t>230UX</t>
  </si>
  <si>
    <t>WOS:000082269700004</t>
  </si>
  <si>
    <t>Bargagli, R; Sanchez-Hernandez, JC; Monaci, F</t>
  </si>
  <si>
    <t>Baseline concentrations of elements in the Antarctic macrolichen Umbilicaria decussata</t>
  </si>
  <si>
    <t>HEAVY-METALS; NORTHWEST-TERRITORIES; CASEY-STATION; WILKES-LAND; LICHENS; DEPOSITION; MERCURY; LEAD; CADMIUM; CANADA</t>
  </si>
  <si>
    <t>Total concentrations of major and trace elements were determined in samples of the epilithic lichen Umbilicaria decussata from 24 ice-free areas in coastal Victoria Land (Antarctica). Overall average concentrations of trace elements except Cd were the lowest ever reported for lichens of the genus Umbilicaria. Specifically, the mean level of Pb in lichens from granitic rocks (0.46 +/- 0.18 mu g g(-1) dry wt) was more than four times lower than the lowest record in Arctic lichens. No impact of local human activities was detected, but the elemental composition of U. decussata was affected by entrapment of soil or rock dust particles and probably by uptake of soluble elements from substrate. Relationships between elements and their distribution patterns in the study area indicated that the marine environment is the main source of major ions and perhaps of Cd in lichens. Accumulation of P was detected in samples from coastal sites frequented by seabirds. Although the present results can be taken as baseline levels of major and trace elements in Antarctic U. decussata from substrates with very different geochemical features, further research is necessary to evaluate the relative element contribution from each substrate with respect to those from snow, marine aerosol, salt encrustations and guano. (C) 1998 Elsevier Science Ltd. All rights reserved.</t>
  </si>
  <si>
    <t>Univ Siena, Dipartimento Biol Ambientale, I-53100 Siena, Italy</t>
  </si>
  <si>
    <t>Univ Siena, Dipartimento Biol Ambientale, Via Cerchia 3, I-53100 Siena, Italy.</t>
  </si>
  <si>
    <t>10.1016/S0045-6535(98)00211-2</t>
  </si>
  <si>
    <t>148UE</t>
  </si>
  <si>
    <t>WOS:000077550800001</t>
  </si>
  <si>
    <t>Payne, AJ</t>
  </si>
  <si>
    <t>A thermomechanical model of ice flow in West Antarctica</t>
  </si>
  <si>
    <t>STREAM-C; SHEETS; STAGNATION; GLACIERS; WATER; CREEP</t>
  </si>
  <si>
    <t>This study uses a three-dimensional thermomechanical model to investigate the internal flow dynamics of the West Antarctic Ice Sheet (WAIS). The model allows ice thickness, flow and temperature to interact freely. Its domain is prescribed as that of the present-day grounded WAIS. Realistic present-day climatic and topographical boundary conditions are employed. The analysis of a series of experiments pays particular attention to the location and dynamics of concentrations of ice flow lice streams). Underlying topographic troughs are crucial in determining the strength and location of these concentrations of flow. The flow pattern generated by subglacial troughs is made more distinct by the inclusion of ice flow/temperature coupling. The inclusion of sliding leads to the generation of limit cycles in the ice flow. They are concentrated around the present-day ice streams B and C of the Siple Coast and have a period of 5 to 10 ky. There appears to be competition between several preferred ice flow pathways in this area. The two end members of the flow regime are a strong ice stream C with a weakened ice stream A/B complex, and strong ice streams A and B with a dormant ice stream C. Ice streams appear to require ice discharges above a certain threshold in order to maintain frictional heat generation and fast flow. Individual ice streams can therefore interact through changes in catchment-area size: a reduction in catchment area reduces the volume of ice entering a stream and can cause stagnation as the amount of frictional heating falls.</t>
  </si>
  <si>
    <t>Univ Southampton, Dept Geog, Southampton SO9 5NH, Hants, England</t>
  </si>
  <si>
    <t>University of Southampton</t>
  </si>
  <si>
    <t>Univ Southampton, Dept Geog, Southampton SO9 5NH, Hants, England.</t>
  </si>
  <si>
    <t>A.J.Payne@soton.ac.uk</t>
  </si>
  <si>
    <t>payne, antony/A-8916-2008</t>
  </si>
  <si>
    <t>payne, antony/0000-0001-8825-8425</t>
  </si>
  <si>
    <t>10.1007/s003820050271</t>
  </si>
  <si>
    <t>164NY</t>
  </si>
  <si>
    <t>WOS:000078471500003</t>
  </si>
  <si>
    <t>Wu, X; Budd, WF; Lytle, VI; Massom, RA</t>
  </si>
  <si>
    <t>The effect of snow on Antarctic sea ice simulations in a coupled atmosphere sea ice model</t>
  </si>
  <si>
    <t>GENERAL-CIRCULATION MODEL; SOUTHERN-OCEAN; MIXED LAYER; THICKNESS DISTRIBUTION; WEDDELL SEA; CLIMATE; VARIABILITY; SENSITIVITY; WINTER</t>
  </si>
  <si>
    <t>The effect of a snow cover on sea ice accretion and ablation is estimated based on the 'zero-layer' version sea ice model of Semtner, and is examined using a coupled atmosphere-sea ice model including feedbacks and ice dynamics effects. When snow is disregarded in the coupled model the averaged Antarctic sea ice becomes thicker. When only half of the snowfall predicted by the atmospheric model is allowed to land on the ice surface sea ice gets thicker in most of the Weddell and Ross Seas but thinner in East Antarctic in winter, with the average slightly thicker. When twice as much snowfall as predicted by the atmospheric model is assumed to land on the ice surface sea ice also gets much thicker due to the large increase of snow-ice formation. These results indicate the importance of the correct simulation of the snow cover over sea ice and snow-ice formation in the Antarctic. Our results also illustrate the complex feedback effects of the snow cover in global climate models. In this study we have also tested the use of a mean value of 0.16 Wm(-1) K-1 instead of 0.31 for the thermal conductivity of snow in the coupled model, based on the most recent observations in the eastern Antarctic and Bellingshausen and Amundsen Seas, and have found that the sea ice distribution changes greatly, with the ice becoming much thinner by about 0.2 m in the Antarctic and about 0.4 m in the Arctic on average. This implies that the magnitude of the thermal conductivity of snow is of considerable importance for the simulation of the sea ice distribution. An appropriate value of the thermal conductivity of snow is as crucial as the depth of the snow layer and the snowfall rate in a sea ice model. The coupled climate models require accurate values of the effective thermal conductivity of snow from observations for validating the simulated sea ice distribution under the present climate conditions.</t>
  </si>
  <si>
    <t>Antarctic Cooperat Res Ctr, Hobart, Tas, Australia; Australian Antarctic Div, Hobart, Tas, Australia</t>
  </si>
  <si>
    <t>Antarctic Cooperat Res Ctr, Hobart, Tas, Australia.</t>
  </si>
  <si>
    <t>X.Wu@utas.edu.au</t>
  </si>
  <si>
    <t>10.1007/s003820050272</t>
  </si>
  <si>
    <t>WOS:000078471500004</t>
  </si>
  <si>
    <t>Cockell, CS; Stokes, MD</t>
  </si>
  <si>
    <t>Polar winter: A biological model for impact events and related dark/cold climatic changes</t>
  </si>
  <si>
    <t>CLIMATIC CHANGE</t>
  </si>
  <si>
    <t>ANTARCTIC SEA-ICE; CRETACEOUS-TERTIARY EXTINCTIONS; PSYCHROPHILIC MARINE BACTERIUM; MICROBIAL COMMUNITIES; STARVATION-SURVIVAL; WEDDELL SEA; NUTRIENT STARVATION; SEASONAL-CHANGES; GROWTH-RATE; PHYTOPLANKTON</t>
  </si>
  <si>
    <t>Models of the climatic perturbation caused by a large scale extraterrestrial impact predict an injection of dust into the stratosphere. This would cause the onset of environmental conditions whose two principal characteristics are a prolonged period of darkness and reduced global temperatures. Similar scenarios follow large scale volcanic eruptions, wildfires and they are predicted for a nuclear winter following a protracted nuclear exchange. A significant drop in temperature and solar insolation are also characteristics of the polar winter. In this paper the onset and emergence from the polar winter is examined as a potential biological framework for studying immediate biological effects following transition into and out of a dark/cold catastrophe. Limitations of the conceptual model, particularly with respect to the fact that polar organisms are well adapted to a regular and severe dark/cold climatic change (which the rest of the Earth's biota is not) are discussed. The model has implications for the poles as an extinction refuge during such climatic changes.</t>
  </si>
  <si>
    <t>NASA, Ames Res Ctr, Div Space Sci, Moffett Field, CA 94035 USA; Stanford Univ, Hopkins Marine Stn, Pacific Grove, CA 93950 USA</t>
  </si>
  <si>
    <t>National Aeronautics &amp; Space Administration (NASA); NASA Ames Research Center; Stanford University</t>
  </si>
  <si>
    <t>Cockell, CS (corresponding author), Carnegie Inst Washington, Dept Plant Biol, 290 Panama St, Stanford, CA 94305 USA.</t>
  </si>
  <si>
    <t>cockell@biosphere.stanford.edu</t>
  </si>
  <si>
    <t>0165-0009</t>
  </si>
  <si>
    <t>Clim. Change</t>
  </si>
  <si>
    <t>10.1023/A:1005465513592</t>
  </si>
  <si>
    <t>169MC</t>
  </si>
  <si>
    <t>WOS:000078751700002</t>
  </si>
  <si>
    <t>Tamburrini, M; Romano, M; Giardina, B; di Prisco, G</t>
  </si>
  <si>
    <t>The myoglobin of Emperor penguin (Aptenodytes forsteri):: amino acid sequence and functional adaptation to extreme conditions</t>
  </si>
  <si>
    <t>amino acid sequence; Antarctica; lactate; life style; molecular adaptation; myoglobin; oxygen binding; penguin</t>
  </si>
  <si>
    <t>LACTATE</t>
  </si>
  <si>
    <t>In the framework of a study on molecular adaptations of the oxygen-transport and storage systems to extreme conditions in Antarctic marine organisms, we have investigated the structure/function relationship in Emperor penguin (Aptenodytes forsteri) myoglobin, in search of correlation with the bird life style. In contrast with previous reports, the revised amino acid sequence contains one additional residue and 15 differences. The oxygen-binding parameters seem well adapted to the diving behaviour of the penguin and to the environmental conditions of the Antarctic habitat. Addition of lactate has no major effect on myoglobin oxygenation over a large temperature range. Therefore, metabolic acidosis does not impair myoglobin function under conditions of prolonged physical effort, such as diving. (C) 1999 Elsevier Science Ltd. All rights reserved.</t>
  </si>
  <si>
    <t>CNR, Inst Prot Biochem &amp; Enzymol, I-80125 Naples, Italy; Univ Cattolica Sacro Cuore, Fac Med, Inst Chem &amp; Clin Chem, I-00168 Rome, Italy</t>
  </si>
  <si>
    <t>Consiglio Nazionale delle Ricerche (CNR); Istituto di Biochimica delle Proteine (IBP-CNR); Catholic University of the Sacred Heart; IRCCS Policlinico Gemelli</t>
  </si>
  <si>
    <t>TAMBURRINI, MAURIZIO/0000-0001-5987-0957</t>
  </si>
  <si>
    <t>10.1016/S0305-0491(99)00004-8</t>
  </si>
  <si>
    <t>179GA</t>
  </si>
  <si>
    <t>WOS:000079316800010</t>
  </si>
  <si>
    <t>Kumar, R; Sarkar, A; Pandey, PC</t>
  </si>
  <si>
    <t>Estimation of ocean depths off Goa coast using ERS-1 Synthetic Aperture Radar</t>
  </si>
  <si>
    <t>ERS-1 borne Synthetic Aperture Radar image data over Goa region of Indian west coast were analysed. Deep water ocean gravity waves approaching the coasts revealed refraction processes. Wave parameters in deep and shallow waters, estimated through Fast Fourier Techniques, were interrelated through dispersion relationship to yield depth values near the coast. On comparison with the charted depths, the remotely sensed depths were found to have less than 15% deviation on an average, indicating potential use of this technique for large area depth mapping and monitoring. (C) 1999 Elsevier Science Ltd. All rights reserved.</t>
  </si>
  <si>
    <t>ISRO, Ctr Space Applicat, Meteorol &amp; Oceanog Grp, Ocean Sci Div, Ahmedabad 380053, Gujarat, India; Antarctic Study Ctr, Vasco Da Gama 403804, Goa, India</t>
  </si>
  <si>
    <t>Department of Space (DoS), Government of India; Indian Space Research Organisation (ISRO); Space Applications Centre (SAC)</t>
  </si>
  <si>
    <t>Kumar, R (corresponding author), ISRO, Ctr Space Applicat, Meteorol &amp; Oceanog Grp, Ocean Sci Div, Ahmedabad 380053, Gujarat, India.</t>
  </si>
  <si>
    <t>167NM</t>
  </si>
  <si>
    <t>WOS:000078640000002</t>
  </si>
  <si>
    <t>Worland, MR; Block, W</t>
  </si>
  <si>
    <t>Ice-nucleating bacteria from the guts of two sub-Antarctic beetles, Hydromedion sparsutum and Perimylops antarcticus (Perimylopidae)</t>
  </si>
  <si>
    <t>ice-nucleating bacteria; sub-Antarctic; insects; freeze tolerance</t>
  </si>
  <si>
    <t>ACTIVE BACTERIA; SOUTH GEORGIA; AGENTS; HEMOLYMPH; INSECTS; PLANTS</t>
  </si>
  <si>
    <t>The site of ice nucleation in the freeze-tolerant, sub-Antarctic beetle Hydromedion sparsutum has been investigated. Ice(+) bacteria, active at above -2.0 degrees C, were isolated from the guts of beetles and identified as a fluorescent Pseudomonas species. Other possible sites of nucleation, including the hemolymph, were examined but had a lower activity. Ice+ bacteria were isolated from mixed populations, isolated from the guts of adult beetles, and grown on nutrient agar plates and in nutrient broth. Nucleation activity of the broth culture peaked after only 2 days although the number of live cells continued to increase until day 6. These cultures were used to determine the maximum nucleation activity of a bacterial suspension in sterile distilled water (-3.4 degrees C) and the dilution factor required to cause a 50% reduction in activity (10(4)). The original bacterial suspension had an absorbance of 0.5 measured at 660 nm and contained 6 x 10(11) bacteria per milliliter. From this it is estimated that only I in 10(6) bacteria possessed the highest levels of ice-nucleating activity. Other insect species, including Perimylops antarcticus, which are found in habitats similar to that of H. sparsutum, were examined for the presence of ice(+) bacteria. All contained ice-nucleating bacteria in their guts but with a lower level of activity than in H. sparsutum. (C) 1999 Academic Press.</t>
  </si>
  <si>
    <t>Worland, MR (corresponding author), British Antarctic Survey, NERC, Madingley Rd, Cambridge CB3 0ET, England.</t>
  </si>
  <si>
    <t>ACADEMIC PRESS INC ELSEVIER SCIENCE</t>
  </si>
  <si>
    <t>1090-2392</t>
  </si>
  <si>
    <t>10.1006/cryo.1998.2147</t>
  </si>
  <si>
    <t>182TL</t>
  </si>
  <si>
    <t>WOS:000079514200007</t>
  </si>
  <si>
    <t>David, PM; Guerin-Ancey, O; Van Cuyck, JP</t>
  </si>
  <si>
    <t>Acoustic discrimination of two zooplankton species (mysid) at 38 and 120 kHz</t>
  </si>
  <si>
    <t>ANTARCTIC KRILL; SCATTERING; SIZE; ABUNDANCE; STRENGTHS; LENGTH; MHZ</t>
  </si>
  <si>
    <t>Using bifrequency sonar (38 kHz, 120 kHz) directed towards the open sea from the inside of a submarine cave, two species of Mysidacea (Crustacea), similar in shape but not in size, and with different patterns of behaviour, were observed simultaneously and discriminated, and their biomass was estimated during their migration. The first species, Hemimysis speluncola(&lt;1 cm length), lives in the submarine cave, forming a distinct community that migrates horizontally. The second species, Siriella jaltensis (&gt;1 cm length), lives in the open sea and migrates vertically. These species are both detected clearly at 120 kHz, but only the larger one, Siriella jaltensis, is detected at 38 kHz. This distinction allows one to determine the size limits of planktonic objects detected at these frequencies, i.e. 3 mm at 120 kHz and 10 mm at 38 kHz, corresponding to one quarter of the wavelength. The target strength (TS) of each species was calculated from the field data and compared to results calculated from three models. As the volume of the cave occupied by the Hemimysis population is about 300 m(3), and the density of the swarm is 36,000 individuals/m(3), the number of individuals in the cave is estimated to be around 10 million (or 24 kg). The density of the open-water population of Siriella is estimated to be 13 individuals/m(3). (C) 1999 Elsevier Science Ltd. All rights reserved.</t>
  </si>
  <si>
    <t>Univ Aix Marseille 2, Ctr Oceanol Marseille, CNRS, UMR 6540,Dimar, F-13288 Marseille 9, France</t>
  </si>
  <si>
    <t>Centre National de la Recherche Scientifique (CNRS); Aix-Marseille Universite</t>
  </si>
  <si>
    <t>David, PM (corresponding author), Univ Aix Marseille 2, Ctr Oceanol Marseille, CNRS, UMR 6540,Dimar, Campus Luminy,Case 901, F-13288 Marseille 9, France.</t>
  </si>
  <si>
    <t>david@com.univ.mrs.fr</t>
  </si>
  <si>
    <t>10.1016/S0967-0637(98)00064-8</t>
  </si>
  <si>
    <t>169CL</t>
  </si>
  <si>
    <t>WOS:000078729900004</t>
  </si>
  <si>
    <t>Veblen, TT; Kitzberger, T; Villalba, R; Donnegan, J</t>
  </si>
  <si>
    <t>Fire history in northern Patagonia: The roles of humans and climatic variation</t>
  </si>
  <si>
    <t>ECOLOGICAL MONOGRAPHS</t>
  </si>
  <si>
    <t>anthropogenic influences; Argentina; Austrocedrus chilensis; climatic variation; dendroecology; El Nino; fire history; Fitzroya cupressoides; global change; Patagonia; Southern Oscillation; tree rings</t>
  </si>
  <si>
    <t>SOUTHERN SOUTH-AMERICA; FOREST-STEPPE ECOTONE; TREE-RING RECORDS; LAST 1000 YEARS; TEMPORAL VARIATION; CENTRAL CHILE; RAIN-FOREST; OSCILLATION; VARIABILITY; DYNAMICS</t>
  </si>
  <si>
    <t>The effects of humans and climatic variation on fire history in northern Patagonia, Argentina, were examined by dating fire scars on 458 trees at 21 sites in rain forests of Fitzroya cupressoides and xeric woodlands of Austrocedrus chilensis from 39 degrees to 43 degrees S latitude. Climatic variation associated with fires was analyzed on the basis of 20th-century observational records and tree ring proxy records of climatic variation since approximately AD 1500, In the Austrocedrus woodlands, fire frequency increases after about 1850, coincident with greater use of the area by Native American hunters. Increased burning, particularly in the zone of more mesic forests, is also strongly associated with forest clearing by European settlers from about 1880 to the early 1900s. The marked decline in fire frequency during the 20th century coincides with both the demise of Native American hunters in the 1890s and increasingly effective fire exclusion. Strong synchroneity in the years of widespread fire at sample sites dispersed over a north-south distance of similar to 400 km indicates a strong climatic influence on fire occurrence at an annual scale. Tree ring reconstructions of regional precipitation and temperature show a steeply declining influence of climatic variability on fire occurrence from annual to multidecadal scales. It is the interannual variability in climate, rather than variations in average climatic conditions over longer periods, that strongly influences fire regimes in northern Patagonia. Although climatic variability overrides human influences on fire regimes at an interannual scale, human activity is an equally important determinant of fire frequency at multidecadal scales. Climatic conditions conducive to widespread fire in both xeric Austrocedrus woodlands and Fitzroya rain forests are typical of the late stages of La Nina (cold phase of the Southern Oscillation) events, as indicated by trends in the Southern Oscillation Index and eastern tropical Pacific sea surface temperatures during the 1-2 years before and after fire event years, Years of extreme fire occurrence are associated both with dry winter-springs of La Nina events and with the warm summers following El Nino events. Years in which the southeast Pacific subtropical anticyclone is intense and located farther south than normal are years of enhanced drought and fire. Similarly, years of widespread fire in northern Patagonia are associated with variations in mean sea level atmospheric pressure at about 50 degrees-60 degrees S latitude in the South American-Antarctic Peninsula sector of the Southern Ocean, as reconstructed from tree rings for AD 1746-1984. Precipitation and, hence, fire regimes in northern Patagonia are significantly influenced by high-latitude blocking events, which drive westerly cyclonic storms northward, Variations at decadal to centennial time scales in major circulation features, such as ENSO activity and the meridionality of regional air flow at high latitudes, as well as changes in the degree of coupling of these features, influence climate and fire regimes of northern Patagonia.</t>
  </si>
  <si>
    <t>Univ Colorado, Dept Geog, Boulder, CO 80309 USA; Univ Nacl Comahue, Dept Ecol, RA-8400 San Carlos De Bariloche, Rio Negro, Argentina; IANGLA, Dept Dendrocronol &amp; Historia Ambiental, RA-5500 Mendoza, Argentina</t>
  </si>
  <si>
    <t>University of Colorado System; University of Colorado Boulder; Universidad Nacional del Comahue</t>
  </si>
  <si>
    <t>Univ Colorado, Dept Geog, Campus Box 260, Boulder, CO 80309 USA.</t>
  </si>
  <si>
    <t>Veblen, Thomas T./U-6461-2018; Kitzberger, Thomas/H-9209-2015</t>
  </si>
  <si>
    <t>Villalba, Ricardo/0000-0001-8183-0310; Kitzberger, Thomas/0000-0002-9754-4121</t>
  </si>
  <si>
    <t>0012-9615</t>
  </si>
  <si>
    <t>1557-7015</t>
  </si>
  <si>
    <t>ECOL MONOGR</t>
  </si>
  <si>
    <t>Ecol. Monogr.</t>
  </si>
  <si>
    <t>10.1890/0012-9615(1999)069[0047:FHINPT]2.0.CO;2</t>
  </si>
  <si>
    <t>164VU</t>
  </si>
  <si>
    <t>WOS:000078484900003</t>
  </si>
  <si>
    <t>Oliveri, B; Zeni, S; Lorenzetti, MP; Aguilar, G; Mautalen, C</t>
  </si>
  <si>
    <t>Effect of one year residence in Antarctica on bone mineral metabolism and body composition</t>
  </si>
  <si>
    <t>EUROPEAN JOURNAL OF CLINICAL NUTRITION</t>
  </si>
  <si>
    <t>bone mass; 25-hydroxyvitamin D; mineral metabolism; seasonal variations</t>
  </si>
  <si>
    <t>SEASONAL-VARIATIONS; BUENOS-AIRES; SERUM LEVELS; 25-HYDROXYVITAMIN-D; RADIATION; ARGENTINA; USHUAIA; MASS</t>
  </si>
  <si>
    <t>Objective: To evaluate the changes of the biochemical parameters of mineral metabolism and to assess the effect of these changes on the bone mass of young healthy men who voluntarily lived in the Antarctic Continent for one year. Design: Lumbar spine and whole body bone mineral density (BMD) were measured pre- and post-campaign (14 months later). Serum and urinary biochemical parameters were measured every two months. Serum levels of calcium. phosphate, total alkaline phosphatase, parathormone (PTH) and 25-hydroxyvitamin D (250HD) were determined in blood fasting samples; and hydroxyproline, calcium and creatinine in 2 h fasting urine. The subjects received a dose of 100 IU/d of vitamin D during May after obtaining the samples and then an average of 125 IU/d from July to January. Subjects: Seventeen healthy volunteers. who left Buenos Aires during the 1992 summer: ten arrived in the Belgrano II Base at the end of January and the other seven arrived in San Martin in March and stayed there up to summer 1993. Results: BMD increased in lumbar spine (L2-L4), total body and the subarea of the legs but there were no differences between the pre- and post-campaign values in arms and pelvis. The percentage of fat mass decreased significantly after 1 y of residence in Antarctica, in comparison to the basal values. Most biochemical parameters remained unaltered and within the normal range during the whole study. PTH showed a nadir in March tend of the summer) when compared to initial levels (73.0 +/- 28.2 vs 39.9 +/- 32.7 pg/ml, P &lt; 0.05, and recovered its initial value in spring. Calcium levels showed a significant decrease in March (9.5 +/- 00.4 vs 8.5 +/- 1.0 mg%, P &lt; 0.01). 250HD levels began to decrease in March (24.7 +/- 6.4 vs 18.7 +/- 5.3 ng/ml), reaching a minimum value whose difference approached statistical significance during the winter period (July: 16.4 +/- 8.2 mi, 0.05 &lt; P &lt; 0.06). No significant changes in serum phosphate, total alkaline phosphatase, urinary hydroxyproline/creatinine and calcium/creatinine ratios were found through the year. Conclusions: 250HD levels decreased in autumn and winter (nadir in July) and recovered the initial levels by the end of the campaign. An unexplained marked diminution in PTH and serum calcium was found at the beginning of the campaign. In spite of the low vitamin D levels, bone mass in this group of young healthy men increased, probably because of their intense physical activity. Sponsorship: Fundacion Argentina de Osteologia e Institute Antartico Argentino.</t>
  </si>
  <si>
    <t>Univ Buenos Aires, Hosp Clin, Secc Osteopatias Med, RA-1120 Buenos Aires, DF, Argentina; Inst Antart Argentino, Buenos Aires, DF, Argentina</t>
  </si>
  <si>
    <t>University of Buenos Aires; Instituto Antartico Argentino</t>
  </si>
  <si>
    <t>Oliveri, B (corresponding author), Univ Buenos Aires, Hosp Clin, Secc Osteopatias Med, Cordoba 2351,Piso 8, RA-1120 Buenos Aires, DF, Argentina.</t>
  </si>
  <si>
    <t>osthclinuba@ciudad.com.ar</t>
  </si>
  <si>
    <t>Aguilar Jr, Gerardo/HPD-1223-2023</t>
  </si>
  <si>
    <t>0954-3007</t>
  </si>
  <si>
    <t>1476-5640</t>
  </si>
  <si>
    <t>EUR J CLIN NUTR</t>
  </si>
  <si>
    <t>Eur. J. Clin. Nutr.</t>
  </si>
  <si>
    <t>10.1038/sj.ejcn.1600681</t>
  </si>
  <si>
    <t>Nutrition &amp; Dietetics</t>
  </si>
  <si>
    <t>168CB</t>
  </si>
  <si>
    <t>WOS:000078672200002</t>
  </si>
  <si>
    <t>Dowdeswell, JA; Siegert, MJ</t>
  </si>
  <si>
    <t>The dimensions and topographic setting of Antarctic subglacial lakes and implications for large-scale water storage beneath continental ice sheets</t>
  </si>
  <si>
    <t>NORTH-ATLANTIC SEDIMENTS; OUTBURST FLOODS; MELTWATER; DRUMLINS</t>
  </si>
  <si>
    <t>Radio-echo sounding (RES) at 60 MHz has penetrated to the ice-sheet bed on about 400000 km of flight track covering more than 50% of the 13.5 x 10(6) km(2) Antarctic ice sheet. About 70 subglacial lakes have been identified by characteristic strong mirror-like, and very flat RES reflectors. Most are located in the ice-sheet interior, where numerical modeling predicts basal melting, and 33% are within 100 km of the ice crest. Mean ice thickness above the lakes is about 3000 m, About 75% of lakes have radio-echo lengths of &lt;10 km, and only 5% are &gt;30 km, The largest is Vostok Lake, which is 230 ion long, 14000 km(2) in area, and has a water volume of about 2000 km(3). More than 60% of lakes have maximum local bedrock elevations of &lt;400 m and bed gradients of &lt;0.1 adjacent to their margins. Extrapolating the observed side-slope topography implies water depths from tens to several hundred meters in a few cases, About 20000 km(2) of subglacial lakes are inferred from RES, which can be doubled for the entire ice sheet to yield an estimated total area of about 40000 km(2), excluding Vostok Lake. Assuming average lake depths between 50 and 250 m, and including the 2000 km(3) of water stored within Vostok Lake, we calculate an envelope of about 4000 to 12000 km(3) for the likely volume of water stored in modern Antarctic subglacial lakes, equivalent to 10-35 mm of global sea-level rise. In these volume calculations it is assumed that no subglacial lakes the size of Lake Vostok remain to be discovered and that RES length measurements along single transects are representative of overall lake dimensions. Our estimates of the total water volume of Antarctic subglacial lakes, which mag be a suitable analogue for full glacial Quaternary ice sheets, do not necessarily conflict with the possible significance of large meltwater floods during the deglaciation of former midlatitude ice sheets.</t>
  </si>
  <si>
    <t>Univ Bristol, Bristol Glaciol Ctr, Sch Geog Sci, Bristol BS8 1SS, Avon, England</t>
  </si>
  <si>
    <t>Dowdeswell, JA (corresponding author), Univ Bristol, Bristol Glaciol Ctr, Sch Geog Sci, Bristol BS8 1SS, Avon, England.</t>
  </si>
  <si>
    <t>j.a.dowdeswell@bristol.ac.uk; m.j.siegert@bristol.ac.uk</t>
  </si>
  <si>
    <t>Siegert, Martin/M-9939-2019</t>
  </si>
  <si>
    <t>Siegert, Martin/0000-0002-0090-4806; Dowdeswell, Julian/0000-0003-1369-9482</t>
  </si>
  <si>
    <t>10.1130/0016-7606(1999)111&lt;0254:TDATSO&gt;2.3.CO;2</t>
  </si>
  <si>
    <t>167DP</t>
  </si>
  <si>
    <t>WOS:000078617600007</t>
  </si>
  <si>
    <t>Anderson, JB; Andrews, JT</t>
  </si>
  <si>
    <t>Radiocarbon constraints on ice sheet advance and retreat in the Weddell Sea, Antarctica</t>
  </si>
  <si>
    <t>HEINRICH EVENTS; NORTH-ATLANTIC; LABRADOR SEA; ROSS-SEA; COLLAPSE; SEDIMENTS; PATTERNS; OCEAN</t>
  </si>
  <si>
    <t>We report here the results of a study aimed at providing radiometric age control on glacial events in the Weddell Sea during the late Quaternary, Sediment cores from the eastern continental shelf, where the East Antarctic ice sheet was grounded, have recovered glacial-marine sediments resting on tills and the latter deposits predate the isotope stage 2 last glacial maximum. Sediment cores from the continental slope and rise sampled a prominent ice-rafted debris layer, and radiocarbon ages indicate that this Ice-rafting event took place prior to 26000 yr B.P. Thus, the combined data indicate that significant deglaciation of the Weddell Sea continental shelf took place prior to the last glacial maximum. Our data also suggest that the ice masses that border the Weddell Sea are more extensive than they were during the previous glacial minimum.</t>
  </si>
  <si>
    <t>Rice Univ, Dept Geol &amp; Geophys, Houston, TX 77251 USA; Univ Colorado, Inst Arctic &amp; Alpine Res, Boulder, CO 80309 USA; Univ Colorado, Dept Geol Sci, Boulder, CO 80309 USA</t>
  </si>
  <si>
    <t>Rice University; University of Colorado System; University of Colorado Boulder; University of Colorado System; University of Colorado Boulder</t>
  </si>
  <si>
    <t>Anderson, JB (corresponding author), Rice Univ, Dept Geol &amp; Geophys, Houston, TX 77251 USA.</t>
  </si>
  <si>
    <t>10.1130/0091-7613(1999)027&lt;0179:RCOISA&gt;2.3.CO;2</t>
  </si>
  <si>
    <t>167DR</t>
  </si>
  <si>
    <t>WOS:000078617800021</t>
  </si>
  <si>
    <t>Summerfield, MA; Stuart, FM; Cockburn, HAP; Sugden, DE; Denton, GH; Dunai, T; Marchant, DR</t>
  </si>
  <si>
    <t>Long-term rates of denudation in the Dry Valleys, Transantarctic Mountains, southern Victoria Land, Antarctica based on in-situ-produced cosmogenic 21Ne</t>
  </si>
  <si>
    <t>92nd Annual Meeting of the Association-of-American-Geographers</t>
  </si>
  <si>
    <t>APR 09-13, 1996</t>
  </si>
  <si>
    <t>CHARLOTTE, NC</t>
  </si>
  <si>
    <t>denudation rates; cosmogenic isotopes; landscape evolution; paleoclimatology; Antarctica</t>
  </si>
  <si>
    <t>CENOZOIC GLACIAL HISTORY; ROSS EMBAYMENT; PLIOCENE PALEOCLIMATE; TERRESTRIAL ROCKS; EXPOSURE AGES; SIRIUS GROUP; EROSION; UPLIFT; BE-10; AL-26</t>
  </si>
  <si>
    <t>Concentrations of cosmogenic Ne-21 (21Ne,) measured in quartz have been used to estimate long-term rates of denudation for contrasting landscape components in the Dry Valleys area of the Transantarctic Mountains, southern Victoria Land, Antarctica. Samples of Beacon Supergroup sandstones and granitic basement were collected from two contrasting landscape elements-low-relief, high-elevation surfaces and rectilinear slopes-to assess variations in rates of denudation with topographic position. The sample sites for rectilinear slopes were selected because of proximity to 40Ar/39Ar-dated lavas and ash-avalanche deposits. All Ne-21/Ne-20 ratios are significantly greater than the atmospheric value, and concentrations of Ne-21(c) were calculated from the measured Ne-21 values assuming an atmospheric composition for the trapped component. Apparent exposure ages calculated from the concentrations of Ne-21(c), assuming no denudation since exposure, range from 3.78-4.66 Ma for samples from the high-elevation plateau surface, and 0.61-2.48 Ma for samples from the rectilinear slopes. Exposure ages for He-3(c) were 2 to 42 times lower than those derived from the abundances of 21Ne, because of preferential diffusive loss of He-3(c) from the quartz lattice; concentrations of He-3(c) were, therefore, not used in the calculation of rates of denudation. We interpret the abundances of Ne-21(c) as reflecting variations in the rates of denudation rather than exposure age in view of independent evidence for prolonged exposure (&gt; 15 Ma) of bedrock surfaces at the sample sites. Calculated maximum rates of denudation range from 0.26-1.02 m Ma(-1) for the rectilinear slopes, down to only 0.133-0.164 m Ma(-1) for the high-elevation surface sites. These rates are comparable to other estimates of denudation rates for the Dry Valleys derived from analyses of cosmogenic isotopes, but are around two orders of magnitude lower than the long-term mean rate over the past similar to 50 Ma estimated from fission-track thermochronology. Combined with the preservation of volcanic deposits dating back to the mid-Miocene, these Ne-21(c) data demonstrate that only minimal modification of the landscape has occurred in the Dry Valleys over at least the past similar to 15 Ma. This significant conclusion supports the view that the East Antarctic Ice Sheet has been essentially stable over this period rather than experiencing major fluctuations as late as the Pliocene, as has previously been suggested. (C) 1999 Elsevier Science B.V. AII rights reserved.</t>
  </si>
  <si>
    <t>Univ Edinburgh, Dept Geog, Edinburgh EH8 9XP, Midlothian, Scotland; Scottish Univ Res &amp; Reactor Ctr, Isotope Geol Unit, E Kilbride G75 0QF, Lanark, Scotland; Univ Maine, Inst Quaternary Studies, Dept Geol Sci, Orono, ME 04469 USA; Free Univ Amsterdam, Fac Aardwetenschappen, NL-1081 HV Amsterdam, Netherlands; Boston Univ, Dept Earth Sci, Boston, MA 02215 USA</t>
  </si>
  <si>
    <t>University of Edinburgh; Scottish Universities Research &amp; Reactor Center; University of Maine System; University of Maine Orono; Vrije Universiteit Amsterdam; Boston University</t>
  </si>
  <si>
    <t>mas@geo.ed.ac.uk</t>
  </si>
  <si>
    <t>Dunai, Tibor/B-7270-2008; Dunai, Tibor J/E-9558-2012; Stuart, Finlay M/E-7417-2010</t>
  </si>
  <si>
    <t>Dunai, Tibor Janos/0000-0001-8858-2401</t>
  </si>
  <si>
    <t>10.1016/S0169-555X(98)00093-2</t>
  </si>
  <si>
    <t>169VD</t>
  </si>
  <si>
    <t>WOS:000078769000009</t>
  </si>
  <si>
    <t>Steele, HM; Drdla, K; Turco, RP; Lumpe, JD; Bevilacqua, RM</t>
  </si>
  <si>
    <t>Tracking polar stratospheric cloud development with POAM II and a microphysical model</t>
  </si>
  <si>
    <t>SIZE DISTRIBUTIONS; SULFATE AEROSOLS; AIRBORNE LIDAR; LIQUID; GROWTH; OZONE</t>
  </si>
  <si>
    <t>The formation and development of polar stratospheric clouds are examined using a comprehensive microphysical model applied along air parcel trajectories. During Antarctic winter specific parcels are sampled over a time span of several days using extinction data from the POAM II satellite instrument. The observed evolution of polar stratospheric cloud spectral opacity is compared to predictions from model simulations. Hence, aerosol growth and decay in response to changing environmental conditions can be observed and interpreted. In some instances good agreement between observations and predictions has been obtained over periods of many days. The analysis provides evidence for the role of temperature history in cloud formation and properties, in agreement with previous studies. On occasion, the apparent behavior of a PSC along a trajectory is inconsistent with current theoretical concepts.</t>
  </si>
  <si>
    <t>Univ Cambridge, Dept Chem, Cambridge CB2 1EW, England; Univ Calif Los Angeles, Dept Atmospher Sci, Los Angeles, CA 90095 USA; USN, Res Lab, Remote Sensing Div, Washington, DC 20375 USA; NASA, Ames Res Ctr, Atmospher Phys Branch, Moffett Field, CA 94035 USA; Computat Phys Inc, Fairfax, VA 22301 USA</t>
  </si>
  <si>
    <t>University of Cambridge; University of California System; University of California Los Angeles; United States Department of Defense; United States Navy; Naval Research Laboratory; National Aeronautics &amp; Space Administration (NASA); NASA Ames Research Center</t>
  </si>
  <si>
    <t>Steele, HM (corresponding author), Univ Cambridge, Dept Chem, Lensfield Rd, Cambridge CB2 1EW, England.</t>
  </si>
  <si>
    <t>FEB 1</t>
  </si>
  <si>
    <t>10.1029/1998GL900324</t>
  </si>
  <si>
    <t>163YK</t>
  </si>
  <si>
    <t>WOS:000078434300002</t>
  </si>
  <si>
    <t>Searles, PS; Flint, SD; Díaz, SB; Rousseaux, MC; Ballaré, CL; Caldwell, MM</t>
  </si>
  <si>
    <t>Solar ultraviolet-B radiation influence on Sphagnum bog and Carex fen ecosystems:: first field season findings in Tierra del Fuego, Argentina</t>
  </si>
  <si>
    <t>Carex fen; ozone hole; ozone reduction; Sphagnum bog; Tierra del Fuego; ultraviolet-B; UV-B</t>
  </si>
  <si>
    <t>ENHANCED UV-B; TERRESTRIAL ECOSYSTEMS; GROWTH; QUALITY; IRRADIANCE; RHIZOPODA; LATITUDES; SEEDLINGS; PROTOZOA; PIGMENTS</t>
  </si>
  <si>
    <t>Stratospheric ozone depletion occurs over Tierra del Fuego, southern Argentina and Chile, in the austral spring and summer due to the precession of the Antarctic 'ozone hole' and the general erosion of the ozone layer. Plots receiving either near-ambient or reduced UV-B radiation were established using different louvered plastic film filters over Sphagnum bog and Carex fen ecosystems in October 1996. In the Sphagnum bog system, growth measurements during the late spring and summer showed no significant differences in the moss Sphagnum magellanicum or the vascular plants (Empetrum rubrum, Nothofagus antarctica, and Tetroncium mngellanicum) between near-ambient and attenuated UV-B radiation treatments. In the Carex fen system, leaf length and spike height did not differ in the two dominant species, Carex decidua and C. curta, between UV-B radiation treatments. The length of individual spikelets of C. curta under near-ambient UV-B radiation was less than under the reduced UV-B radiation treatment, but this was not evident in C. decidua. No differences in seed number, seed mass, or viability were seen in either Carex species between the UV-B treatments. Two important constituents of the microfauna that inhabit the Sphagnum bog are testate amoebae and rotifers. These both appeared to be more numerous under near-ambient UV-B radiation than under reduced UV-B radiation. The subtle responses of the Sphagnum and Carex ecosystems may become more apparent in subsequent years as the treatments are continued. Trophic-level changes, such as the differences in number of amoebae and rotifers, may be more sensitive to solar UV-B radiation than growth and productivity of the vegetation.</t>
  </si>
  <si>
    <t>Utah State Univ, Dept Rangeland Resources, Logan, UT 84322 USA; Utah State Univ, Ctr Ecol, Logan, UT 84322 USA; Ctr Austral Invest Cient, RA-9410 Ushuaia, Tierra Fuego, Argentina; Univ Buenos Aires, Fac Agron, Dept Ecol, IFEVA, RA-1417 Buenos Aires, DF, Argentina</t>
  </si>
  <si>
    <t>Utah System of Higher Education; Utah State University; Utah System of Higher Education; Utah State University; University of Buenos Aires</t>
  </si>
  <si>
    <t>Flint, SD (corresponding author), Utah State Univ, Dept Rangeland Resources, Logan, UT 84322 USA.</t>
  </si>
  <si>
    <t>; Ballare, Carlos/F-5141-2011</t>
  </si>
  <si>
    <t>Searles, Peter/0000-0002-2867-5881; Ballare, Carlos/0000-0001-9129-4531; Rousseaux, Maria Cecilia/0000-0001-8761-8839</t>
  </si>
  <si>
    <t>10.1046/j.1365-2486.1999.00223.x</t>
  </si>
  <si>
    <t>170ED</t>
  </si>
  <si>
    <t>WOS:000078792600009</t>
  </si>
  <si>
    <t>Lormée, H; Jouventin, P; Chastel, O; Mauget, R</t>
  </si>
  <si>
    <t>Endocrine correlates of parental care in an Antarctic winter breeding seabird, the emperor penguin, Aptenodytes forsteri</t>
  </si>
  <si>
    <t>HORMONES AND BEHAVIOR</t>
  </si>
  <si>
    <t>DOVE STREPTOPELIA-RISORIA; PROLACTIN SECRETION; GONADAL-STEROIDS; KING PENGUIN; PLASMA PROLACTIN; LUTEINIZING-HORMONE; REPRODUCTIVE-CYCLE; STURNUS-VULGARIS; PYGOSCELIS-PAPUA; PIED FLYCATCHERS</t>
  </si>
  <si>
    <t>Plasma levels of luteinizing hormone (LH) and prolactin associated with parental behavior were measured in the Antarctic winter breeding emperor penguin, Aptenodytes forsteri. Males exclusively incubate the egg while females exclusively brood the nonhomeothermic young; both sexes alternate in rearing the homeothermic young. Birds were sampled on arrival from the sea through egg laying, incubation, and brooding. All parent birds lost their chicks at the end of the brooding period due to harsh weather but sampling continued. In females, LH titers dropped after egg laying but levels were restored when the birds returned from the sea to brood the chicks and were not depressed by high prolactin levels. Plasma prolactin remained low in males captured on arrival and kept until the free-living males finished incubation. In breeders, prolactin secretion increased during the prelaying period when day length decreased. Prolactin levels stayed elevated in males during incubation and in brooding females returning after a 2-month absence at sea. Prolactin values were higher in brooding females than in males ending incubation or returning in late brooding. These levels did not drop after chick loss, and the sexual difference in prolactin values was maintained after breeding failure. In emperor penguins, increased prolactin secretion appears to be triggered around the time of egg laying and continues, driven by an endogenous mechanism, through incubation and brooding until rearing is completed. Prolactin secretion independent of external stimuli may have evolved in pelagic seabirds to maintain parental care despite long absences at sea from the breeding colony. (C) 1999 Academic Press.</t>
  </si>
  <si>
    <t>Ctr Etud Biol Chize, CNRS, F-79360 Villiers En Bois, France; Museum Natl Hist Nat, Lab Conservat Especes Anim, F-75012 Paris, France</t>
  </si>
  <si>
    <t>Centre National de la Recherche Scientifique (CNRS); Museum National d'Histoire Naturelle (MNHN)</t>
  </si>
  <si>
    <t>Lormée, H (corresponding author), Ctr Etud Biol Chize, CNRS, F-79360 Villiers En Bois, France.</t>
  </si>
  <si>
    <t>0018-506X</t>
  </si>
  <si>
    <t>HORM BEHAV</t>
  </si>
  <si>
    <t>Horm. Behav.</t>
  </si>
  <si>
    <t>10.1006/hbeh.1998.1491</t>
  </si>
  <si>
    <t>Behavioral Sciences; Endocrinology &amp; Metabolism</t>
  </si>
  <si>
    <t>171FE</t>
  </si>
  <si>
    <t>WOS:000078851300002</t>
  </si>
  <si>
    <t>Roscoe, HK; Johnston, PV; Van Roozendael, M; Richter, A; Sarkissian, A; Roscoe, J; Preston, KE; Lambert, JC; Hermans, C; Decuyper, W; Dzienus, S; Winterrath, T; Burrows, J; Goutail, F; Pommereau, JP; D'Almeida, E; Hottier, J; Coureul, C; Didier, R; Pundt, I; Bartlett, LM; McElroy, CT; Kerr, JE; Elokhov, A; Giovanelli, G; Ravegnani, F; Premuda, M; Kostadinov, I; Erle, F; Wagner, T; Pfeilsticker, K; Kenntner, M; Marquard, LC; Gil, M; Puentedura, O; Yela, M; Arlander, DW; Hoiskar, BAK; Tellefsen, CW; Tornkvist, KK; Heese, B; Jones, RL; Aliwell, SR; Freshwater, RA</t>
  </si>
  <si>
    <t>Slant column measurements of O3 and NO2 during the NDSC intercomparison of zenith-sky UV-visible spectrometers in June 1996</t>
  </si>
  <si>
    <t>ozone; NO2; UV-visible</t>
  </si>
  <si>
    <t>ABSORPTION CROSS-SECTIONS; EQUILIBRIUM-CONSTANT; NITROGEN-DIOXIDE; NM REGION; TEMPERATURE; SPECTRUM; STRATOSPHERE; SPECTROSCOPY; RESOLUTION; RANGE</t>
  </si>
  <si>
    <t>In June 1996, 16 UV-visible sensors from 11 institutes measured spectra of the zenith shy for more than 10 days. Spectra were analysed in real-time to determine slant column amounts of O-3 and NO2, Spectra of Hg lamps and lasers were measured, and the amount of NO;? in a cell was determined by each spectrometer. Some spectra were re-analysed after obvious errors were found. Slant columns were compared in two ways: by examining regression analyses against comparison instruments over the whole range of solar zenith angles; and by taking fractional differences from a comparison instrument at solar zenith angles between 85 degrees and 91 degrees. Regression identified which pairs of instruments were most consistent, and so which could be used as universal comparison instruments. For O-3, regression slopes for the whole campaign agreed within 5% for most instruments despite the use of different cross-sections and wavelength intervals, whereas similar agreement was only achieved for NO2 when the same cross-sections and wavelength intervals were used and only one half-day's data was analysed. Mean fractional differences in NO2 from a comparison instrument fall within +/-7% (I-sigma) for most instruments, with standard deviations of the mean differences averaging 4.5%. Mean differences in O-3 fall within +/-2.5% (I-sigma) for most instruments, with standard deviations of the mean differences averaging 2%. Measurements of NO2 in the cell had similar agreement to measurements of NO2 in the atmosphere, but for some instruments measurements with cell and atmosphere relative to a comparison instrument disagreed by more than the error bars.</t>
  </si>
  <si>
    <t>British Antarctic Survey, NERC, Cambridge CB3 0ET, England; NIWA, Omakau, Central Otago, New Zealand; Inst Aeron Spatiale Belgique, B-1180 Brussels, Belgium; Univ Bremen, Inst Environm Phys, D-28334 Bremen, Germany; CNRS, Serv Aeron, F-91371 Verrieres Buisson, France; Univ Wales, Dept Phys, Aberystwyth SY23 3BZ, Dyfed, Wales; Atmospher Environm Serv, Toronto, ON M3H 5T4, Canada; Russian Acad Sci, Inst Atmospher Phys, Moscow, Russia; CNR, Fisbat Inst, I-40129 Bologna, Italy; Univ Heidelberg, Inst Umweltphys, D-69120 Heidelberg, Germany; INTA, Madrid 28850, Spain; NILU, N-2007 Kjeller, Norway; UNIS, N-9170 Longyearbyen, Norway; Univ Cambridge, Dept Chem, Ctr Atmospher Sci, Cambridge CB2 1EW, England</t>
  </si>
  <si>
    <t>UK Research &amp; Innovation (UKRI); Natural Environment Research Council (NERC); NERC British Antarctic Survey; National Institute of Water &amp; Atmospheric Research (NIWA) - New Zealand; University of Bremen; Centre National de la Recherche Scientifique (CNRS); Aberystwyth University; Environment &amp; Climate Change Canada; Meteorological Service of Canada; Russian Academy of Sciences; Obukhov Institute of Atmospheric Physics of Russian Academy of Sciences; Consiglio Nazionale delle Ricerche (CNR); Ruprecht Karls University Heidelberg; Consejo Superior de Investigaciones Cientificas (CSIC); CSIC - Centro de Astrobiologia (INTA); NILU; University Centre Svalbard (UNIS); University of Cambridge</t>
  </si>
  <si>
    <t>Roscoe, HK (corresponding author), British Antarctic Survey, NERC, Madingley Rd, Cambridge CB3 0ET, England.</t>
  </si>
  <si>
    <t>Lambert, Jean-Christopher/IUN-1096-2023; Heese, Birgit/AAY-9678-2021; Ravegnani, Fabrizio/A-7800-2009; Ravegnani, Fabrizio/AAM-5467-2021; Premuda, Margherita/B-1066-2013; Burrows, John Philip/AAF-8468-2019; Puentedura, Olga/J-6884-2014; Yela Gonzalez, Margarita/J-7346-2016; Richter, Andreas/C-4971-2008</t>
  </si>
  <si>
    <t>Lambert, Jean-Christopher/0000-0001-7243-6848; Heese, Birgit/0000-0001-6743-926X; Ravegnani, Fabrizio/0000-0003-0735-9297; Ravegnani, Fabrizio/0000-0003-0735-9297; Premuda, Margherita/0000-0003-4920-2861; Burrows, John Philip/0000-0002-6821-5580; Puentedura, Olga/0000-0002-4286-1867; Yela Gonzalez, Margarita/0000-0003-3775-3156; Richter, Andreas/0000-0003-3339-212X</t>
  </si>
  <si>
    <t>10.1023/A:1006111216966</t>
  </si>
  <si>
    <t>179LD</t>
  </si>
  <si>
    <t>WOS:000079328000003</t>
  </si>
  <si>
    <t>Goodman, J; Marshall, J</t>
  </si>
  <si>
    <t>A model of decadal middle-latitude atmosphere-ocean coupled modes</t>
  </si>
  <si>
    <t>SEA-SURFACE TEMPERATURE; NORTH-ATLANTIC OSCILLATION; ANTARCTIC CIRCUMPOLAR WAVE; CLIMATE VARIABILITY; PLANETARY-WAVES; CIRCULATION; ANOMALIES; PRESSURE; DYNAMICS; PACIFIC</t>
  </si>
  <si>
    <t>An analytical model of the mutual interaction of the middle-latitude atmosphere and ocean is formulated and studied. The model is found to support coupled modes in which oceanic baroclinic Rossby waves of decadal period grow through positive coupled feedback between the thermal forcing of the atmosphere induced by SST anomalies and the resulting wind stress forcing of the ocean. Growth only occurs if the atmospheric response to thermal forcing is equivalent barotropic, with a particular phase relationship with the underlying SST anomalies. The dependence of the growth rate and structure of the modes on the nature of the assumed physics of air-sea interaction is explored, and their possible relation to observed phenomena discussed.</t>
  </si>
  <si>
    <t>Goodman, J (corresponding author), MIT, Dept Earth Atmospher &amp; Planetary Sci, Program Atmospheres Oceans &amp; Climate, Room 54-1515, Cambridge, MA 02139 USA.</t>
  </si>
  <si>
    <t>goodmanj@mit.edu</t>
  </si>
  <si>
    <t>10.1175/1520-0442(1999)012&lt;0621:AMODML&gt;2.0.CO;2</t>
  </si>
  <si>
    <t>174LY</t>
  </si>
  <si>
    <t>WOS:000079037700022</t>
  </si>
  <si>
    <t>Mende, SB; Frey, HU; Geller, SP; Doolittle, JH</t>
  </si>
  <si>
    <t>Multistation observations of auroras: Polar cap substorms</t>
  </si>
  <si>
    <t>POLEWARD LEAP; MORPHOLOGY</t>
  </si>
  <si>
    <t>Double-wavelength (630.0 and 427.8 nm) all-sky imagers were operated at the Automatic Geophysical Observatory (AGO) sites P1 and P4, (magnetic latitude=80 degrees), South Pole Station (magnetic latitude=74 degrees), and P3 (magnetic latitude=72 degrees) during the austral winter of 1994 and 1995. A new data format was developed to present the 24 hour auroral displays from the station arrays, which provided 24 hour optical data during the Antarctic winter night for several months. Auroras at these stations exhibit the typical magnetic local time (MLT) features of high-latitude precipitation. On the nightside (MLT), substorm poleward expansions were observed to reach very high latitudes. A typical event (June 3, 1994, 0400-0500 UT) started equatorward from the South Pole and propagated to the high-latitude limit of the field of view at P1 and P4. The morphological appearance of these high-latitude auroral substorm features was similar to that of substorm auroras observed at lower latitudes. The intense 427.8 nm emission accompanied by a weak 630 nm emission showed that the particles were energetic. The interplanetary magnetic field (IMF) B-z component was slightly negative before and during this event, emphasizing that these were substorm auroras and not polar cap auroras, which tend to occur during times of prolonged positive IMF B-z. Statistical analysis of the 1995 AGO optical data shows that over 20% of substorms are seen to penetrate to regions greater than 80 degrees of latitude.</t>
  </si>
  <si>
    <t>Univ Calif Berkeley, Space Sci Lab, Berkeley, CA 94720 USA; Lockheed Martin Palo Alto Res Labs, Lockheed Martin Adv Technol Ctr, Palo Alto, CA 94304 USA</t>
  </si>
  <si>
    <t>University of California System; University of California Berkeley; Lockheed Martin</t>
  </si>
  <si>
    <t>Univ Calif Berkeley, Space Sci Lab, Centennial Dr &amp; Grizzly Peak Blvd, Berkeley, CA 94720 USA.</t>
  </si>
  <si>
    <t>mende@ssl.berkeley.edu; hfrey@ssl.berkeley.edu; geller@ssl.berkeley.edu; doolittle@space.lockheed.com</t>
  </si>
  <si>
    <t>Frey, Harald/0000-0001-8955-3282</t>
  </si>
  <si>
    <t>A2</t>
  </si>
  <si>
    <t>10.1029/1998JA900084</t>
  </si>
  <si>
    <t>170TX</t>
  </si>
  <si>
    <t>WOS:000078823900002</t>
  </si>
  <si>
    <t>Munakata, K; Kitawada, T; Yasue, S; Mori, S; Kato, C; Koyama, M; Akahane, S; Hall, DL; Fujii, Z; Fujimoto, K; Humble, JE; Fenton, AG; Fenton, KB; Duldig, ML</t>
  </si>
  <si>
    <t>Enhanced sidereal diurnal variation of galactic cosmic rays observed by the two-hemisphere network of surface level muon telescopes</t>
  </si>
  <si>
    <t>NORTH-SOUTH ASYMMETRY; ECLIPTIC-PLANE; ANISOTROPIES; GRADIENT; HELIOSPHERE; MODULATION</t>
  </si>
  <si>
    <t>Significant enhancements of the cosmic ray sidereal diurnal variation were observed during the period 1992-1995 by the two-hemisphere network of surface-level multidirectional muon telescopes at Hobart (Tasmania, Australia) and Nagoya (Aichi, Japan). The telescopes cover the primary cosmic ray rigidity range of 50-120 GV. Since the enhancement is less prominent in the higher rigidity range (150-550 GV) covered by the shallow underground observations at Misato and Sakashita, it is concluded that the enhancement was caused by significant solar modulation in the lower energy region. Observed sidereal diurnal variations, corrected for spurious variations by a procedure proposed by Nagashima, give a space harmonic vector with amplitude of 0.104 +/- 0.008% at 60 GV and maximum at 6.9 +/- 0.3 hour local sidereal time. The time of maximum is consistent with northward streaming of cosmic rays perpendicular to the ecliptic plane. Such a north-south anisotropy is expected from cross-field xi(NS) = -lambda(perpendicular to) G(theta) diffusion if both the cross-field mean-free-path lambda(perpendicular to) and the southward directed unidirectional latitudinal density gradient G(theta) have large enough magnitudes. It is shown that the sector-dependent solar diurnal variations are also enhanced in the period, consistent with G(theta) being directed south of the ecliptic plane. Magnitudes of G(theta) and lambda(perpendicular to) derived from the observations are discussed.</t>
  </si>
  <si>
    <t>Shinshu Univ, Fac Sci, Dept Phys, Nagano 3908621, Japan; Nagoya Univ, Solar Terr Environm Lab, Nagoya, Aichi 464, Japan; Univ Tasmania, Sch Math &amp; Phys, Hobart, Tas 7001, Australia; Australian Antarctic Div, Kingston, Tas 7050, Australia</t>
  </si>
  <si>
    <t>Shinshu Univ, Fac Sci, Dept Phys, 3-1-1 Asahi, Nagano 3908621, Japan.</t>
  </si>
  <si>
    <t>kmuna00@gipac.shinshu-u.ac.jp</t>
  </si>
  <si>
    <t>Humble, John/0000-0002-4698-1671; Duldig, Marcus/0000-0001-7463-8267</t>
  </si>
  <si>
    <t>10.1029/1998JA900057</t>
  </si>
  <si>
    <t>WOS:000078823900018</t>
  </si>
  <si>
    <t>Pakhomov, EA; Perissinotto, R; Froneman, PW</t>
  </si>
  <si>
    <t>Predation impact of carnivorous macrozooplankton and micronekton in the Atlantic sector of the Southern Ocean</t>
  </si>
  <si>
    <t>Atlantic sector; Southern Ocean; carnivores; community structure; predation impact</t>
  </si>
  <si>
    <t>CHAETOGNATH EUKROHNIA-HAMATA; AURELIA-AURITA; MICROPHYTOPLANKTON ASSEMBLAGES; SUBTROPICAL CONVERGENCE; ANTARCTIC PENINSULA; COMMUNITY STRUCTURE; SAGITTA-FRIDERICI; GERLACHE STRAIT; AUSTRAL SUMMER; GRAZING IMPACT</t>
  </si>
  <si>
    <t>The composition, biomass, distribution and predation impact of carnivorous zooplankton were investigated along a transect from SANAE to Cape Town during the second cruise of the South African Antarctic Marine Ecosystem Study (SAAMES II) in January-February 1993. The carnivore component of the pelagic community consisted mainly of six groups: amphipods, euphausiids, decapods, fish, chaetognaths and jellyfish. Amongst these, euphausiids (mainly Thysanoessa macruva and Nematoscelis megalops), chaetognaths (Sagitta gazellae and Eukrohnia hamata) and myctophids were the most prominent groups throughout the transect. Jellyfish were abundant within the Marginal Ice Zone (MIZ), while mesopelagic/interzonal decapods exhibited a peak in biomass north of the Subtropical Convergence (STC). Generally, carnivores comprised 10 to 30% of total zooplankton biomass. In frontal regions, such as the Antarctic Polar Front (APF) and the STC, their contribution to total zooplankton biomass decreased to less than or equal to 6%. Carnivores overwhelmingly dominated the zooplankton stock between the Subantarctic Front (SAF) and the STC, accounting for 42 to 96% of the total. Gut content analysis showed that all the species investigated are opportunistic predators, generally consuming the most abundant mesozooplanktonic groups. Chaetognaths and euphausiids exhibited the highest impact on secondary standing stock along the transect. Total daily predation impact varied considerably along the transect but generally accounted for &lt;5% of mesozooplankton stock. The highest impact, ranging from 6.5 to 20.5% ((x) over bar = 12%) of the total stock, were found in the region between the SAF and the STC, in conjunction with the high densities of chaetognaths. Carnivores may potentially contribute a regional downward flux of faeces equivalent to less than or equal to 5% of the local mesozooplankton stock per day. (C) 1999 Elsevier Science B.V. All rights reserved.</t>
  </si>
  <si>
    <t>Rhodes Univ, Dept Zool &amp; Entomol, So Ocean Grp, ZA-6140 Grahamstown, South Africa; Univ Ft Hare, Dept Zool, ZA-5700 Alice, South Africa</t>
  </si>
  <si>
    <t>Rhodes University; University of Fort Hare</t>
  </si>
  <si>
    <t>Froneman, William/GLS-0460-2022; Froneman, William/C-9085-2012</t>
  </si>
  <si>
    <t>Froneman, William/0000-0003-0615-1355;</t>
  </si>
  <si>
    <t>10.1016/S0924-7963(98)00023-2</t>
  </si>
  <si>
    <t>167PZ</t>
  </si>
  <si>
    <t>WOS:000078643600003</t>
  </si>
  <si>
    <t>Meyer-Rochow, VB; Morita, Y; Tamotsu, S</t>
  </si>
  <si>
    <t>Immunocytochemical observations on pineal organ and retina of the Antarctic teleosts Pagothenia borchgrevinki and Trematomus bernacchii</t>
  </si>
  <si>
    <t>JOURNAL OF NEUROCYTOLOGY</t>
  </si>
  <si>
    <t>LAMPETRA-JAPONICA; MELATONIN; CELLS; RESPONSES; LIGHT; OPSIN; VERTEBRATES; RHYTHMICITY; PIGMENT; LAMPREY</t>
  </si>
  <si>
    <t>In spite of the unique conditions they have to operate under, the pineal organs of Antarctic fishes have not previously been examined. We determined immunohistochemically that in the end-vesicles and the pineal stalks of Pagothenia borchgrevinki (a species found directly beneath the sea-ice) as well as Trematomus bernacchii (a species preferring somewhat deeper water than the former) at least two populations of physiologically-different cells occurred that displayed reactions indicative of typical vertebrate photoreceptors. Comparisons with immunocytochemically treated retinal sections from the eyes of the same two species showed that anti-opsin reactivity, characteristic of rods, was particularly strong in the lumina of the pineal stalks of both species. Anti-visinin reactions stained cones in the retinal sections of both fishes and occurred throughout the pineal organs, but in particular in the end vesicles of the pineals of both species. The difference in preferred habitat depth between the two species appears to have had very little influence on both retinal and pineal immunocytochemistry. It is concluded that the pineal organs of both species, at least during the austral summer, exhibit signs of being directly photo-sensitive.</t>
  </si>
  <si>
    <t>Univ Oulu, Inst Arctic Med, SF-90220 Oulu, Finland; Seirei Christopher Coll Nursing, Labs Physiol, Hamamatsu, Shizuoka 4338558, Japan; Nara Womens Univ, Fac Sci, Dept Biol Sci, Nara 6308506, Japan</t>
  </si>
  <si>
    <t>University of Oulu; Nara Womens University</t>
  </si>
  <si>
    <t>Univ Oulu, Dept Biol, Box 3000, SF-90401 Oulu, Finland.</t>
  </si>
  <si>
    <t>vmr@cc.oulu.fi</t>
  </si>
  <si>
    <t>0300-4864</t>
  </si>
  <si>
    <t>J NEUROCYTOL</t>
  </si>
  <si>
    <t>J. Neurocytol.</t>
  </si>
  <si>
    <t>10.1023/A:1007024222758</t>
  </si>
  <si>
    <t>Cell Biology; Neurosciences</t>
  </si>
  <si>
    <t>Cell Biology; Neurosciences &amp; Neurology</t>
  </si>
  <si>
    <t>265PW</t>
  </si>
  <si>
    <t>WOS:000084253400003</t>
  </si>
  <si>
    <t>Bergström, S; Haemig, PD; Olsen, B</t>
  </si>
  <si>
    <t>Distribution and abundance of the tick Ixodes uriae in a diverse subantarctic seabird community</t>
  </si>
  <si>
    <t>JOURNAL OF PARASITOLOGY</t>
  </si>
  <si>
    <t>LYME</t>
  </si>
  <si>
    <t>At Bird Island, South Georgia, we surveyed the distribution and abundance of ticks on the vertebrate fauna and found only 1 species Ixodes uriae. We classified all seabird species into 3 groups: (1) seabirds nesting on the surface of the ground solitarily, in dispersed groups of a few nests, or in colonies with well-spaced nests; (2) seabirds nesting on the surface of the ground in dense colonies; and (3) seabirds nesting in dense colonies in burrows or rock crevices. We detected I. uriae only on 3 species of the second group that nested in large, dense, persistent colonies, i.e., black-browed albatross (Diomedea melanophrys), gray-headed albatross (Diomedea chrysostoma), and macaroni penguin (Eudyptes chrysolophus). Ticks were found on the undersides of the feet on albatrosses but not on the undersides of the feet on penguins. We hypothesize that the coarse pebble nests of penguins, combined with the fact that their young walk around more than albatross young, make the environment on the underside of penguin feet more harsh and hostile for ticks than the underside of albatross feet. Despite the great abundance of Antarctic fur seals (Arctocephalus gazella) on the island, we found no ticks on them.</t>
  </si>
  <si>
    <t>Umea Univ, Dept Microbiol, S-90187 Umea, Sweden</t>
  </si>
  <si>
    <t>Umea University</t>
  </si>
  <si>
    <t>Olsen, B (corresponding author), Umea Univ, Dept Infect Dis, S-90187 Umea, Sweden.</t>
  </si>
  <si>
    <t>Olsen, Bjorn/0000-0002-4646-691X</t>
  </si>
  <si>
    <t>AMER SOC PARASITOLOGISTS</t>
  </si>
  <si>
    <t>810 EAST 10TH STREET, LAWRENCE, KS 66044 USA</t>
  </si>
  <si>
    <t>0022-3395</t>
  </si>
  <si>
    <t>J PARASITOL</t>
  </si>
  <si>
    <t>J. Parasitol.</t>
  </si>
  <si>
    <t>10.2307/3285694</t>
  </si>
  <si>
    <t>170LB</t>
  </si>
  <si>
    <t>WOS:000078806200005</t>
  </si>
  <si>
    <t>Montresor, M; Procaccini, G; Stoecker, DK</t>
  </si>
  <si>
    <t>Polarella glacialis, gen. nov., sp. nov. (Dinophyceae):: Suessiaceae are still alive!</t>
  </si>
  <si>
    <t>Antarctica; cysts; Dinophyceae; phylogeny; Polarella glacialis sp. nov; sea ice; small-subunit (SSU) ribosomal RNA genes; Suessiaceae; Suessiales; Symbiodinium</t>
  </si>
  <si>
    <t>ANTARCTIC SEA-ICE; MCMURDO-SOUND; FREUDENTHAL; BIOTA</t>
  </si>
  <si>
    <t>The culture CCMP 1383, obtained from sea-ice brine collected in McMurdo Sound (Ross Sea, Antarctica), is a small gymnodinioid dinoflagellate, This species is very abundant in the upper land-fast sea ice, where it can both grow and overwinter as a spiny encysted stage. The motile vegetative stage and the cyst produced in the culture were studied by scanning electron microscopy (SEM) and transmission electron micrscopy (TEM), The amphiesma of the vegetative cells is constituted by thin vesicles that are organized into nine latitudinal series of plates: three in the epitheca, two in the cingulum, and four in the hypotheca, The same tabulation is reflected in the cyst wall by acicular processes arising from the center of paraplates, with the exception of the paracingulum, in which acicular processess are absent, On the basis of the peculiar plate pattern of this dinoflagellate, we establish the new genus Polarella and the new species Polarella glacialis (family Suessiaceae, order Suessiales), This species has a remarkable similarity with fossil Suessiaceae cysts dating back to the Triassic and Jurassic and represents, up to now, the only extant member of the subfamily Suessiaceae, Phylogenetic analysis based on the small-subunit ribosomal RNA gene confirmed the placement of this species in the order Suessiales and its close relationship with the genus Symbiodinium Freudenthal.</t>
  </si>
  <si>
    <t>Staz Zool Anton Dohrn, I-80121 Naples, Italy; Univ Maryland, Horn Point Environm Lab, Ctr Environm Sci, Cambridge, MD 21613 USA</t>
  </si>
  <si>
    <t>Stazione Zoologica Anton Dohrn di Napoli; University System of Maryland; University of Maryland Center for Environmental Science</t>
  </si>
  <si>
    <t>Staz Zool Anton Dohrn, Villa Comunale, I-80121 Naples, Italy.</t>
  </si>
  <si>
    <t>mmontr@alpha.szn.it</t>
  </si>
  <si>
    <t>stoecker, diane k/F-9341-2013; Procaccini, Gabriele/A-6618-2010; Procaccini, Gabriele/AAA-7040-2019</t>
  </si>
  <si>
    <t>Procaccini, Gabriele/0000-0002-6179-468X; Procaccini, Gabriele/0000-0002-6179-468X; Montresor, Marina/0000-0002-2475-1787</t>
  </si>
  <si>
    <t>1529-8817</t>
  </si>
  <si>
    <t>10.1046/j.1529-8817.1999.3510186.x</t>
  </si>
  <si>
    <t>172LU</t>
  </si>
  <si>
    <t>WOS:000078926400024</t>
  </si>
  <si>
    <t>Hogg, NG; Siedler, G; Zenk, W</t>
  </si>
  <si>
    <t>Circulation and variability at the southern boundary of the Brazil Basin</t>
  </si>
  <si>
    <t>ANTARCTIC BOTTOM WATER; VEMA CHANNEL; FLOW; ATLANTIC; FLUX</t>
  </si>
  <si>
    <t>As a contribution to the WOCE Deep Basin Experiment, an array of current meters with individual record lengths exceeding ii years was set across the southern boundary of the Brazil Basin between early 1991 and early 1996. The array spanned the Santos Plateau, the Vema Channel, and the Hunter Channel, all areas believed to be important for transport of Antarctic Bottom Water between the Argentine and Brazil Basins. From the combination of geostrophic velocities computed from hydrographic stations and those directly measured, the total transport of bottom water (potential temperature below 2 degrees C) is estimated to be about 6.9 Sv (Sv = 10(6) m(3) s(-1)) northward, with about 4 Sv coming through the Vema Channel and the remainder through the Hunter Channel. Properties of the eddy field are also discussed. Eddy energy levels and their spatial distribution are similar to comparable regimes in the North Atlantic. Integral timescales vary from a few days to several weeks with distance from the Brazil Current and the western boundary. The eddy heat Bur is in the same direction as the heat advection by the mean flow but considerably smaller.</t>
  </si>
  <si>
    <t>Woods Hole Oceanog Inst, Clark Lab 3, Woods Hole, MA 02543 USA; Univ Kiel, Inst Meereskunde, D-2300 Kiel, Germany</t>
  </si>
  <si>
    <t>Woods Hole Oceanographic Institution; University of Kiel</t>
  </si>
  <si>
    <t>Hogg, NG (corresponding author), Woods Hole Oceanog Inst, Clark Lab 3, Mail Stop 21, Woods Hole, MA 02543 USA.</t>
  </si>
  <si>
    <t>10.1175/1520-0485(1999)029&lt;0145:CAVATS&gt;2.0.CO;2</t>
  </si>
  <si>
    <t>171NM</t>
  </si>
  <si>
    <t>WOS:000078870200003</t>
  </si>
  <si>
    <t>Australia to get tough on modern day pirates in the Antarctic</t>
  </si>
  <si>
    <t>172NN</t>
  </si>
  <si>
    <t>WOS:000078930800005</t>
  </si>
  <si>
    <t>Oba, T; Pedersen, TF</t>
  </si>
  <si>
    <t>Paleoclimatic significance of eolian carbonates supplied to the Japan Sea during the last glacial maximum</t>
  </si>
  <si>
    <t>WATER REDOX CONDITIONS; YOUNGER DRYAS EVENT; ANTARCTIC ICE CORE; QUATERNARY SEDIMENT; BORON ISOTOPES; LEVEL RECORD; OCEAN; CO2; CIRCULATION; PLEISTOCENE</t>
  </si>
  <si>
    <t>Laminated sediments deposited under anoxic bottom waters in the Japan Sea during the last glacial maximum (LGM) contain extremely well preserved calcareous microfossils and eolian carbonates. The radiocarbon age-difference between bulk sediment and monospecific planktonic foraminifera in discrete laminae from a core in the southern Japan Sea implies that similar to 40% of the total carbonates in the sediments at the LGM are of eolian origin. Extrapolation of this result yields a rate of supply of eolian carbonates of similar to 2800 tons d(-1) to the entire Japan Sea during the LGM. The climatic significance of this flux potentially lies in its broader geographic extension, particularly in the interaction of the carbonate-bearing dust with shallow, corrosive North Pacific waters and with rain in the atmosphere. By increasing the alkalinity of such waters and by enhancing the biological pump the dust flux could have increased CO2 absorption by both the ocean and rain during the LGM.</t>
  </si>
  <si>
    <t>Hokkaido Univ, Grad Sch Environm Earth Sci, Kita Ku, Sapporo, Hokkaido 0600810, Japan; Univ British Columbia, Dept Earth &amp; Ocean Sci, Vancouver, BC V6T 1Z4, Canada</t>
  </si>
  <si>
    <t>Hokkaido University; University of British Columbia</t>
  </si>
  <si>
    <t>Hokkaido Univ, Grad Sch Environm Earth Sci, Kita Ku, Nishi 5,Kita 10, Sapporo, Hokkaido 0600810, Japan.</t>
  </si>
  <si>
    <t>oba-tad@ees.hokudai.ac.jp; pedersen@eos.ubc.ca</t>
  </si>
  <si>
    <t>10.1029/98PA02507</t>
  </si>
  <si>
    <t>161PU</t>
  </si>
  <si>
    <t>WOS:000078298400004</t>
  </si>
  <si>
    <t>Scott, CL; Falk-Petersen, S; Sargent, JR; Hop, H; Lonne, OJ; Poltermann, M</t>
  </si>
  <si>
    <t>Lipids and trophic interactions of ice fauna and pelagic zooplankton in the marginal ice zone of the Barents Sea</t>
  </si>
  <si>
    <t>HERBIVOROUS COPEPODS; ANTARCTIC COPEPODS; CALANUS-PROPINQUUS; CALANOIDES-ACUTUS; WAX ESTERS; PHYTOPLANKTON; MARKERS; STORAGE; KRILL</t>
  </si>
  <si>
    <t>Gammarus wilkitzkii, Apherusa glacialis, Onismus nanseni, Onismus glacialis, Boreogadus saida, Parathemisto libellula and Calanus hyperboreus, collected in late June in the Barents Sea marginal ice zone, contained substantial levels (28-51% of the dry mass) of total lipid, the highest levels (51% and 41% respectively) being in A. glacialis and C. hyperboreus. Neutral lipids were present in greater amounts than polar lipids in all species. Triacylglycerols were major neutral lipids in A. glacialis, G. wilkitzkii and O. nanseni; triacylglycerols and wax esters were present in similar amounts in O. glacialis; higher levels of wax esters than triacylglycerols occurred in P. libellula; wax esters greatly exceeded triacylglycerols in C. hyperboreus, the opposite being true for B. saida. Diatom fatty acid markers were prominent in the triacylglycerols of G. wilkitzkii, O. nanseni, O. glacialis and, particularly, of A. glacialis; 20:1(n-9) and 22:1(n-11) moieties were abundant in wax esters of G. wilkitzkii, O. nanseni, O. glacialis, P. libellula and C. hyperboreus, and in triacylglycerols of B. saida. We deduce that A. glacialis feeds mainly on ice algae and phytodetritus, G. wilkitzkii and the Onismus spp. feed on calanoid copepods as well as ice algae, whereas P. libellula and especially B. saida feed extensively on calanoid copepods.</t>
  </si>
  <si>
    <t>Univ Stirling, NERC, Unit Aquat Biochem, Stirling, Scotland; Norwegian Polar Res Inst, Tromso, Norway; Akvaplan Niva, Tromso, Norway; Alfred Wegener Inst Polar &amp; Marine Res, D-2850 Bremerhaven, Germany</t>
  </si>
  <si>
    <t>University of Stirling; UK Research &amp; Innovation (UKRI); Natural Environment Research Council (NERC); Norwegian Polar Institute; Akvaplan-niva; Helmholtz Association; Alfred Wegener Institute, Helmholtz Centre for Polar &amp; Marine Research</t>
  </si>
  <si>
    <t>Scott, CL (corresponding author), Univ Stirling, NERC, Unit Aquat Biochem, Stirling, Scotland.</t>
  </si>
  <si>
    <t>c.l.scott@stir.ac.uk</t>
  </si>
  <si>
    <t>Lønne, Ole Jørgen/E-3539-2013</t>
  </si>
  <si>
    <t>10.1007/s003000050335</t>
  </si>
  <si>
    <t>158CA</t>
  </si>
  <si>
    <t>WOS:000078097400001</t>
  </si>
  <si>
    <t>Marshall, DJ; Gremmen, NJM; Coetzee, L; OConnor, BM; Pugh, PJA; Theron, PD; Ueckermann, EA</t>
  </si>
  <si>
    <t>New records of Acari from the sub-Antarctic Prince Edward Islands</t>
  </si>
  <si>
    <t>ORIBATID MITES ACARI; SOUTH GEORGIA; WEEVILS COLEOPTERA; MARION ISLAND; CURCULIONIDAE; HABITAT; ECOLOGY; OCEAN</t>
  </si>
  <si>
    <t>Sixty species of Acari are recorded from the sub-Antarctic Marion and Prince Edward Islands (the Prince Edward archipelago). Twenty of the 45 species collected on recent expeditions are new and currently undescribed. Other new taxa include a family of Mesostigmata, four new genera, and the first sub-Antarctic records of Cillibidae (Mesostigmata) and Eryngiopus (Prostigmata). Fifteen of the 31 species previously reported from the islands are confirmed, although eight of the previous accounts remain doubtful. The fauna, which shows a distinction between the shoreline and terrestrial components, comprises endemic, South Indian Ocean Province and sub-Antarctic mite species.</t>
  </si>
  <si>
    <t>Univ Durban Westville, Dept Zool, ZA-4000 Durban, South Africa; Bur Data Anal Ecol, NL-7981 AP Diever, Netherlands; Natl Museum, Bloemfontein, South Africa; Univ Michigan, Museum Zool, Ann Arbor, MI 48109 USA; British Antarctic Survey, Cambridge CB3 0ET, England; Potchefstroom Univ Christian Higher Educ, Dept Zool, ZA-2520 Potchefstroom, South Africa; Plant Protect Res Inst, Biosystemat Div, ZA-0001 Pretoria, South Africa</t>
  </si>
  <si>
    <t>University of Kwazulu Natal; University of Michigan System; University of Michigan; UK Research &amp; Innovation (UKRI); Natural Environment Research Council (NERC); NERC British Antarctic Survey; North West University - South Africa</t>
  </si>
  <si>
    <t>Marshall, DJ (corresponding author), Univ Durban Westville, Dept Zool, Private Bag X54001, ZA-4000 Durban, South Africa.</t>
  </si>
  <si>
    <t>marshall@pixie.udw.ac.za</t>
  </si>
  <si>
    <t>Marshall, David/0000-0003-3771-5950; Theron, Pieter/0000-0003-1344-2687</t>
  </si>
  <si>
    <t>10.1007/s003000050338</t>
  </si>
  <si>
    <t>WOS:000078097400004</t>
  </si>
  <si>
    <t>Fouilland, E; Descolas-Gros, C; Courties, C; Pons, V</t>
  </si>
  <si>
    <t>Autotrophic carbon assimilation and biomass from size-fractionated phytoplankton in the surface waters across the subtropical frontal zone (Indian Ocean)</t>
  </si>
  <si>
    <t>PARTICULATE ORGANIC-CARBON; NORTH-ATLANTIC OCEAN; SOUTHERN-OCEAN; COMMUNITY STRUCTURE; DISTRIBUTIONS; PRODUCTIVITY; CARBOXYLASE; BLOOMS; SECTOR; PICOPLANKTON</t>
  </si>
  <si>
    <t>The composition of the phytoplanktonic communities in the surface waters of the La Reunion-Kerguelen transect (from 38 degrees 36S to 46 degrees 33S) has been investigated under spring conditions (Antares 3 cruise, France-JGOFS. 28 September-8 November, 1995). The study, conducted at six stations in the subtropical frontal zone, involved size fractionations (threshold: 2 mu m). The large variations in the overall biomass and autotrophic carbon fixation, calculated via Rubisco activity measurements and expressed respectively in terms of mu g chlorophyll (a + b + c) per liter and nmol fixed carbon dioxide per liter and per hour, were attributable only to phytoplanktonic cells of &gt;2 mu m, with a peak observed in the frontal zone. The picophytoplankton (&lt;2 mu m) biomass remained constant throughout the transect, but the evolution of the species composition of the picophytoplanktonic population, as calculated from flow cytometry measurements through this frontal zone, changed. This study provides evidence, for the first time in this area. of the disappearance of prochlorophytes from the south of the frontal zone (42-47 degrees S). Picoeukaryotes (&lt;2 mu m) and cyanobacteria populations, resolved by flow cytometry, were present all along the transect. However, their abundance decreased southward up to the quasi-disappearance of cyanobacteria at the southernmost station (52 degrees S) that is characteristic of antarctic waters. The presence of prochlorophytes that is exclusive to the subtropical surface waters, and the low carbon fixation activity associated with these waters, may be linked to the specific hydrological features encountered. In contrast, the marked reduction in the cyanobacteria and the abundance of picoeukaryotes along the north-south transect is more likely to be a result of the reduction in temperature through the frontal zone.</t>
  </si>
  <si>
    <t>Univ Montpellier 2, Lab Hydrobiol Marine, CNRS, UMR 5556, F-34095 Montpellier 5, France</t>
  </si>
  <si>
    <t>Universite de Montpellier; Centre National de la Recherche Scientifique (CNRS)</t>
  </si>
  <si>
    <t>Univ Montpellier 2, Lab Hydrobiol Marine, CNRS, UMR 5556, Pl E Bataillon,CC 093, F-34095 Montpellier 5, France.</t>
  </si>
  <si>
    <t>Fouilland, Eric/D-4584-2015; Fouilland, Eric/R-1415-2017</t>
  </si>
  <si>
    <t>Fouilland, Eric/0000-0001-9633-8847</t>
  </si>
  <si>
    <t>10.1007/s003000050339</t>
  </si>
  <si>
    <t>WOS:000078097400005</t>
  </si>
  <si>
    <t>McRae, CF; Hocking, AD; Seppelt, RD</t>
  </si>
  <si>
    <t>Penicillium species from terrestrial habitats in the Windmill Islands, East Antarctica, including a new species, Penicillium antarcticum</t>
  </si>
  <si>
    <t>WILKES-LAND; FUNGI; ENVIRONMENT; SOIL</t>
  </si>
  <si>
    <t>This paper documents the Penicillium species associated with the naturally occurring plants and animals in the Windmill Islands, East Antarctica. An attempt has been made to establish the species associations between the Penicillia and the mosses and birds. The species found are discussed briefly in terms of taxonomy and biological significance, and a new species, Penicillium antarcticum, is described.</t>
  </si>
  <si>
    <t>Australian Antarctic Div, Kingston, Tas 7050, Australia; CSIRO, Div Food Sci &amp; Technol, N Ryde, NSW 2113, Australia</t>
  </si>
  <si>
    <t>Australian Antarctic Division; Commonwealth Scientific &amp; Industrial Research Organisation (CSIRO)</t>
  </si>
  <si>
    <t>Seppelt, RD (corresponding author), Australian Antarctic Div, Channel Highway, Kingston, Tas 7050, Australia.</t>
  </si>
  <si>
    <t>10.1007/s003000050340</t>
  </si>
  <si>
    <t>WOS:000078097400006</t>
  </si>
  <si>
    <t>Pakhomov, EA; Froneman, PW; Kuun, PJ; Balarin, M</t>
  </si>
  <si>
    <t>Feeding dynamics and respiration of the bottom-dwelling caridean shrimp Nauticaris marionis Bate, 1888 (Crustacea: Decapoda) in the vicinity of Marion Island (Southern Ocean)</t>
  </si>
  <si>
    <t>ANTARCTIC MICRONEKTONIC CRUSTACEA; PRINCE-EDWARD-ISLANDS; ZOOPLANKTON; KRILL; COMMUNITY; IMPACT; GAUDICHAUDI; ARCHIPELAGO; METABOLISM; EVACUATION</t>
  </si>
  <si>
    <t>The feeding dynamics and oxygen uptake of the bottom-dwelling caridean shrimp Nauticaris marionis were studied during the April/May 1984, 1996 and 1997 cruises to Marion Island (Prince Edward Islands, Southern Ocean). N. marionis is thought to have an opportunistic feeding mode. Prey composition varied considerably between the years and sites investigated. Overall, benthic (mainly hydrozoans and bottom-dwelling polychaetes) and, at times, pelagic (largely euphausiids and copepods) prey items dominated in the stomachs of N. marionis both by occurrence and by volume. Generally, pelagic prey contributed more to the diets of smaller shrimps, while benthic prey was a more important component in the guts of larger specimens. Wet, dry and ash-free dry weight were determined for specimens used in respiration experiments. The respiration rates of N. marionis females with carapace length 6.6-11.1 mm ranged from 80 to 250 mu l O-2 individual(-1) . h(-1), or from 0.588 to 2.756 mu l O-2 . mg(-1) dry weight h(-1). Regression analyses showed highly significant correlations between oxygen consumption and carapace length for N. marionis. Daily ingestion rates estimated using an in situ gut content analysis technique (4.4% of body dry weight) and an energy budget approach (average 4.7% of body dry weight, range 2.0-7.5%) showed good agreement with each other.</t>
  </si>
  <si>
    <t>Rhodes Univ, Dept Zool &amp; Entomol, ZA-6140 Grahamstown, South Africa</t>
  </si>
  <si>
    <t>Pakhomov, EA (corresponding author), Rhodes Univ, Dept Zool &amp; Entomol, POB 94, ZA-6140 Grahamstown, South Africa.</t>
  </si>
  <si>
    <t>10.1007/s003000050341</t>
  </si>
  <si>
    <t>WOS:000078097400007</t>
  </si>
  <si>
    <t>Miranda, LA; Montaner, AD; Ansaldo, M; Affanni, JM; Somoza, GM</t>
  </si>
  <si>
    <t>Characterization of brain gonadotropin-releasing hormone (GnRH) molecular variants in brain extracts from different perciform fishes from Antarctic waters</t>
  </si>
  <si>
    <t>reproduction; GnRH fish; reverse phase; HPLC radioimmunoassay; perciformes</t>
  </si>
  <si>
    <t>3 FORMS; LAMPREY BRAIN; PITUITARY; DISTINCT; GENE; HYPOTHALAMUS; PRECURSOR; SEQUENCE; PEPTIDE; ANCIENT</t>
  </si>
  <si>
    <t>Gonadotropin-releasing hormone (GnRH) is the hypothalamic hormone that regulates the reproductive system by stimulating release of gonadotropins from the anterior pituitary gland. The molecular variants of the reproductive neuropeptide GnRH were characterized from brain tissue of three perciform species from Antarctic waters: Pseudochaenichthys georgianus, Chaenocephalus aceratus, and Notothenia rossi. The study involved reverse phase high-performance liquid chromatography (RP-HPLC) followed by radioimmunoassay (RIA) with two antisera that recognize all GnRH variants already identified: PBL 45 and PBL 49. The results showed that brain extracts of P. georgianus, C. aceratus, and N. rossi contain, like those of other perciform fish, three forms of GnRH likely to be: sbGnRH (seabream GnRH), cGnRH-II (chicken GnRH II) and sGnRH (salmon GnRH). They also showed evidence for the presence of a fourth GnRH variant, chromatographically and immunologically different from the other known forms of the vertebrate hormone. Although final conclusions will require isolation, purification, and sequencing of these molecules, these results offer encouraging possibilities of further advances in the characterization of a multiplicity of GnRH molecular variants.</t>
  </si>
  <si>
    <t>Univ Buenos Aires, Fac Ciencias Exactas &amp; Nat, Dept Ciencias Biol, Ist Neurociencia,INEUCI,CONICET,Lab 54, RA-1428 Buenos Aires, DF, Argentina; Inst Antartico Argentino, Buenos Aires, DF, Argentina</t>
  </si>
  <si>
    <t>University of Buenos Aires; Consejo Nacional de Investigaciones Cientificas y Tecnicas (CONICET); Instituto Antartico Argentino</t>
  </si>
  <si>
    <t>Somoza, GM (corresponding author), Univ Buenos Aires, Fac Ciencias Exactas &amp; Nat, Dept Ciencias Biol, Ist Neurociencia,INEUCI,CONICET,Lab 54, Pabellon 2,Ciudad Univ, RA-1428 Buenos Aires, DF, Argentina.</t>
  </si>
  <si>
    <t>somoza@bg.fcen.uba.ar</t>
  </si>
  <si>
    <t>Somoza, Gustavo Manuel/A-1642-2012</t>
  </si>
  <si>
    <t>Somoza, Gustavo Manuel/0000-0002-3638-702X</t>
  </si>
  <si>
    <t>10.1007/s003000050342</t>
  </si>
  <si>
    <t>WOS:000078097400008</t>
  </si>
  <si>
    <t>Vuan, A; Cazzaro, R; Costa, G; Russi, M; Panza, GF</t>
  </si>
  <si>
    <t>S-wave velocity models in the Scotia Sea Region, Antarctica, from nonlinear inversion of Rayleigh waves dispersion</t>
  </si>
  <si>
    <t>PURE AND APPLIED GEOPHYSICS</t>
  </si>
  <si>
    <t>Antarctica; Scotia Sea; lithosphere structure; surface waves</t>
  </si>
  <si>
    <t>WEST ANTARCTICA; SOUTH-ATLANTIC; SURFACE-WAVES; UPPER MANTLE; PLATE; TECTONICS; LITHOSPHERE</t>
  </si>
  <si>
    <t>More than 60 events recorded by four recently deployed seismic broadband stations around Scotia Sea, Antarctica, have been collected and processed to obtain a general overview of the crust and upper mantle seismic velocities. Group velocity of the fundamental mode of Rayleigh waves in the period between 10 s to 30-40 s is used to obtain the S-wave velocity versus depth along ten different paths crossing the Scotia Sea region. Data recorded by two IRIS (Incorporated Research Institutions for Seismology) stations (PMSA, EFI) and the two stations of the OGS-IAA (Osservatorio Geofisico Sperimentale-Instituto Antarctico Argentino) network (ESPZ, USHU) are used. The Frequency-Time Analysis (FTAN) technique is applied to the data set to measure the dispersion properties. A nonlinear inversion procedure, Hedgehog, is performed to retrieve the S-wave velocity models consistent with the dispersion data. The average Moho depth variation on a section North to South is consistent with the topography, geological observations and Scotia Sea tectonic models. North Scotia Ridge and South Scotia Ridge models are characterised by similar S-wave velocities ranging between 2.0 km/s at the surface to 3.2 km/s to depths of 8 kms. In the lower crust the S-wave velocity increases slowly to reach a value of 3.8 km/s. The average Moho depth is estimated between 17 km to 20 km and 16 km to 19 km, respectively, for the North Scotia Ridge and South Scotia Ridge, while the Scotia Sea, bounded by the two ridges, has a faster and thinner crust, with an average Moho depth between 9 km and 12 km. On other paths crossing from east to west the southern part of the Scotia plate and the Antarctic plate south of South Scotia Ridge, we observe an average Moho depth between 14 km and 18 km and a very fast upper crust, compared to that of the ridge. The S-wave velocity ranges between 3.0 and 3.6 km/s in the thin (9-13 km) and fast crust of the Drake Passage channel. In contrast the models for the tip of the Antarctic Peninsula consist of two layers with a large velocity gradient (2.3-3.0 km/s) in the upper crust (6-km thick) and a small velocity gradient (3.0-4.0) in the lower crust (14-km thick).</t>
  </si>
  <si>
    <t>Osservatorio Geofis Trieste, Dipartimento Geofis Litosfera, I-34016 Trieste, Italy; Univ Trieste, Dipartimento Sci Terra, I-34127 Trieste, Italy; Abdus Salam Int Ctr Theoret Phys, I-34100 Trieste, Italy</t>
  </si>
  <si>
    <t>University of Trieste; Abdus Salam International Centre for Theoretical Physics (ICTP)</t>
  </si>
  <si>
    <t>Osservatorio Geofis Trieste, Dipartimento Geofis Litosfera, CP 2011, I-34016 Trieste, Italy.</t>
  </si>
  <si>
    <t>aless@seismotri.ogs.trieste.it; panza@univ.trieste.it</t>
  </si>
  <si>
    <t>Vuan, Alessandro/AAC-9665-2021; Vuan, Alessandro/B-7115-2014</t>
  </si>
  <si>
    <t>Vuan, Alessandro/0000-0001-5536-1717; Giuliano, Panza/0000-0003-3504-3038</t>
  </si>
  <si>
    <t>SPRINGER BASEL AG</t>
  </si>
  <si>
    <t>BASEL</t>
  </si>
  <si>
    <t>PICASSOPLATZ 4, BASEL, 4052, SWITZERLAND</t>
  </si>
  <si>
    <t>0033-4553</t>
  </si>
  <si>
    <t>1420-9136</t>
  </si>
  <si>
    <t>PURE APPL GEOPHYS</t>
  </si>
  <si>
    <t>Pure Appl. Geophys.</t>
  </si>
  <si>
    <t>10.1007/s000240050224</t>
  </si>
  <si>
    <t>178TA</t>
  </si>
  <si>
    <t>WOS:000079281300008</t>
  </si>
  <si>
    <t>Montes, MJ; Belloch, C; Galiana, M; Garcia, MD; Andrés, C; Ferrer, S; Torres-Rodriguez, JM; Guinea, J</t>
  </si>
  <si>
    <t>Polyphasic taxonomy of a novel yeast isolated from Antarctic environment;: Description of Cryptococcus victoriae sp. nov.</t>
  </si>
  <si>
    <t>SYSTEMATIC AND APPLIED MICROBIOLOGY</t>
  </si>
  <si>
    <t>Antarctic yeast; Cryptococcus victoriae; G+C; whole-cell protein electrophoresis; 5.8S-ITS RFLP; 5.8S rRNA gene sequence; phylogeny</t>
  </si>
  <si>
    <t>INTERNAL TRANSCRIBED SPACERS; RNA SEQUENCE DIVERGENCE; RIBOSOMAL DNA-SEQUENCE; CELL PROTEIN-PATTERNS; BASIDIOMYCETOUS YEASTS; PCR AMPLIFICATION; SACCHAROMYCES; IDENTIFICATION; REGION; GENERA</t>
  </si>
  <si>
    <t>In 1992 some samples of mosses, lichens and soils were collected from Botany Bay, Southern Victoria Land (77 degrees 01' S 162 degrees 32' E) and, as a result of a routine screening programme some yeasts were isolated. One of them, designated as strain G5, showed marked differences when compared to other antarctic yeasts. According to morphological and physiological characteristics, we were able to identify the strain GS as a yeast belonging to the genus Cryptococcus. Some characteristics of this genus are the growth response to myo-inositol, celobiose, raffinose and D-glucuronate, no-fermentation, the absence of mycelium and pseudomycelium, asexual reproduction, Diazolium blue B test (DBB) and urea hydrolisis positive and the growth without vitamines. This strain (GS) formed cream colonies of slimy appearance with cells of 3x2 mu m in size, that grew between 4 degrees C and 20 degrees C. The G+C content of strain G5 was 50.3 mol%. The molecular characterization by whole-cell proteins and RFLP analysis of the 5.8S rRNA gene and the two ribosomal internal transcribed spacers (5.8S-ITS region), revealed that this strain was different from other antarctic species of this genus. The phylogenetic tree deduced from the 5.8S rRNA gene sequence showed the strain G5 as a member of the genus Cryptococcus, clearly separated from other basidiomycetous yeasts. On the basis of the physiological, genotypical and phylogenetical data, the new isolate G5 was described as Cryptococcus victoriae, sp. nov., with the type strain G5 (= CECT 11114).</t>
  </si>
  <si>
    <t>Univ Barcelona, Fac Farm, Unidad Microbiol, E-08028 Barcelona, Spain; Univ Valencia, Colecc Espanola Cultivos Tipo, E-46003 Valencia, Spain; Inst Municipal Invest Med, E-08003 Barcelona, Spain</t>
  </si>
  <si>
    <t>University of Barcelona; University of Valencia</t>
  </si>
  <si>
    <t>Guinea, J (corresponding author), Univ Barcelona, Fac Farm, Unidad Microbiol, C Juan XXIII S-N, E-08028 Barcelona, Spain.</t>
  </si>
  <si>
    <t>Montes, Mª Jesús/L-6430-2014; Ferrer-Bazaga, Santiago/AAA-7749-2021; Belloch, Carmela/H-4599-2012</t>
  </si>
  <si>
    <t>Ferrer-Bazaga, Santiago/0000-0002-6672-551X; Belloch, Carmela/0000-0002-5136-0482</t>
  </si>
  <si>
    <t>0723-2020</t>
  </si>
  <si>
    <t>SYST APPL MICROBIOL</t>
  </si>
  <si>
    <t>Syst. Appl. Microbiol.</t>
  </si>
  <si>
    <t>10.1016/S0723-2020(99)80032-0</t>
  </si>
  <si>
    <t>177MU</t>
  </si>
  <si>
    <t>WOS:000079214500011</t>
  </si>
  <si>
    <t>Bradner, JR; Gillings, M; Nevalainen, KMH</t>
  </si>
  <si>
    <t>Qualitative assessment of hydrolytic activities in antarctic microfungi grown at different temperatures on solid media</t>
  </si>
  <si>
    <t>WORLD JOURNAL OF MICROBIOLOGY &amp; BIOTECHNOLOGY</t>
  </si>
  <si>
    <t>antarctic; fungi; hydrolytic activities</t>
  </si>
  <si>
    <t>ENZYMES</t>
  </si>
  <si>
    <t>Microfungi from Antarctica were grown at 10 degrees C, 21 degrees C, 28 degrees C and 37 degrees C on a series of plates each containing a single carbon source and designed to indicate the secretion of particular hydrolytic enzymes. Colony radius and hydrolytic activity were measured and a relative activity index (RA) established. In general, effective hydrolysis occurred at mesophilic temperatures. Some enzymes, especially of Trichoderma spp. and Penicillium spp. showed maximum activity at 10 degrees C, indicating adaptation to the colder temperatures of the antarctic environment.</t>
  </si>
  <si>
    <t>Gillings, Michael R/0000-0002-4043-4351</t>
  </si>
  <si>
    <t>0959-3993</t>
  </si>
  <si>
    <t>WORLD J MICROB BIOT</t>
  </si>
  <si>
    <t>World J. Microbiol. Biotechnol.</t>
  </si>
  <si>
    <t>200PK</t>
  </si>
  <si>
    <t>WOS:000080548800025</t>
  </si>
  <si>
    <t>Mikhalevich, VI; Voronova, MN</t>
  </si>
  <si>
    <t>On taxonomic position of the genus Pelosina (Xenophyophoria, Protista, inc. sedis)</t>
  </si>
  <si>
    <t>ZOOLOGICHESKY ZHURNAL</t>
  </si>
  <si>
    <t>The morphology and cytology of two species from the genus Pelosina Brady, 1879 (the type species P. variabilis Brady. 1879 and P. arborescens Pearcey, 1914) from Antarctic and Subantarctic regions are described. These species were identified previously as Foraminifera. These species should be referred to the class Xenophyophoria Schultze, 1904, the order Stannomida Tendal, 1972, the family Pelosinidae on the basis of their leaf-like rolled up body with the linellae built by tubes of the granellare plasmodium and stercomare. Diagnoses of the new family, the genus Pelosina and its two species are given.</t>
  </si>
  <si>
    <t>Russian Acad Sci, Inst Zool, St Petersburg 199034, Russia</t>
  </si>
  <si>
    <t>Russian Academy of Sciences; Zoological Institute of the Russian Academy of Sciences</t>
  </si>
  <si>
    <t>Mikhalevich, VI (corresponding author), Russian Acad Sci, Inst Zool, St Petersburg 199034, Russia.</t>
  </si>
  <si>
    <t>0044-5134</t>
  </si>
  <si>
    <t>ZOOL ZH</t>
  </si>
  <si>
    <t>Zool. Zhurnal</t>
  </si>
  <si>
    <t>186PG</t>
  </si>
  <si>
    <t>WOS:000079737700001</t>
  </si>
  <si>
    <t>Egorova, EN</t>
  </si>
  <si>
    <t>New and rare species of deep-sea scallops (Bivalvia, Pectinidae) in recent Antarctic collections</t>
  </si>
  <si>
    <t>The new species Hyalopecten artzi from the Weddlel sea, named after professor Wolf Arntz (Germany, Bremerhaven), in very similar to H. undatus (Verrill, Smith, 1885) and to H. frigidus (Jensen, 1904) in general shape of shell and sculpture of its surface. The antarctic specimen has some specific features: shell in twice smaller, but more convex (thickness of two valves is equal to that in the largest specimens of H. undatus and H. frigidus); ears are of different size; convex and rounded, elevated over the dorsal margin on the left valve umbo is shifted to the posterior margin of the shell; the anterior part of the shell is longer than the posterior one. The Propeamussium octodecimliratum shell, known from the Weddell Sea and the davis Sea, was found for the first time only after Melvill's and Standen's description in 1907. The shell is very fragile and small with very complex and beautiful sculpture. The information obtained allowed one to prepare more detailed pictures of this small mollusc.</t>
  </si>
  <si>
    <t>Egorova, EN (corresponding author), Russian Acad Sci, Inst Zool, St Petersburg 199034, Russia.</t>
  </si>
  <si>
    <t>Egorova, Ekaterina N/T-5737-2018</t>
  </si>
  <si>
    <t>WOS:000079737700005</t>
  </si>
  <si>
    <t>Schüssler, U; Bröcker, M; Henjes-Kunst, F; Will, T</t>
  </si>
  <si>
    <t>P-T-t evolution of the Wilson Terrane metamorphic basement at Oates Coast, Antarctica</t>
  </si>
  <si>
    <t>age determination; Antarctica; metamorphic evolution; Oates Coast; Ross Orogeny; Wilson Terrane</t>
  </si>
  <si>
    <t>NORTHERN VICTORIA-LAND; ROSS OROGEN; RELICT GRANULITES; GEOCHRONOLOGY; UNCERTAINTIES; STABILITY; GRANITE; GEOCHEMISTRY; GEOBAROMETRY; SYSTEMATICS</t>
  </si>
  <si>
    <t>Within the basement of the northern Wilson Terrane at Oates Coast, a very-high-grade central zone is distinguished from high-grade zones to the east and west. In the central zone, P-T estimates of 8 kbar and 800 degrees C derive from the relic assemblage: (1) Crd+Bt+Sil+Spl+PI+Qtz for an earlier medium-pressure granulite-facies metamorphism which is also documented by relic assemblages Qtz+PI+Bt+Opx (+/-Grt+/-Cpx). A subsequent low-pressure granulite-facies to upper-amphibolite-facies stage with pervasive migmatization took place at 4-5.5 kbar and minimum 700 degrees C, as derived from mineral reactions and thermodynamic calculations on thd assemblages (2) Grt+Crd+Bt+Pl+Qtz and (3) Grt+Bt+Sil+PI+Qtz+/-Spl. Decompression at still high temperatures and a clockwise directed P-T-t path are indicated by reactions Bt+Sil+Qtz=Crd+Grt+Kfs+V and Grt+Sil+Qtz+V=Crd. The low-pressure granulite-facies to upper-amphibolite-facies stage is dated by six nearly concordant U-Pb monazite ages of 484-494 Ma from three migmatite samples and correlates to the late Pan-African Ross Orogeny in Cambro-Ordovician times. The age of the medium-pressure granulite-facies assemblages is not constrained by geochronological data. Either they form relies of the Precambrian Antarctic Craton, or they represent an early metamorphic stage of the Ross Orogeny. Rb-Sr and K-Ar dating on biotites yielded 470, 468, 470 Ma and 473, 469, 470 Ma (+/-5 Ma each), indicating the time of cooling to 450-300 degrees C. This is confirmed by (40)Ar-(39)Ar plateau ages of 476+/-2, 472+/-3 and 470+/-2 Ma for these biotites. A late tectonic pegmatite yielded a concordant U-Pb monazite age of 489+/-3 Ma, while slightly discordant U-Pb data of two zircon fractions are explained by recent minor lead loss of ca 490 Ma old zircons. Cooling to ca 500-35O degrees C is dated to 472+/-2 Ma by concordant (40)Ar-(39)Ar plateau ages of two muscovite fractions. The cooling history of the basement from high-grade conditions to the blocking temperature of Rb-Sr and K-Ar in micas took place within ca 15-20 Ma. Cooling rates of 18-25 degree C Ma(-1) can be derived, if continuous cooling is assumed. U-Pb data points of zircons as well as Sm-Nd whole rock model ages between 1.8 and 1.9 Ga indicate that at least part of the migmatites derive from Early Proterozoic crustal protoliths. Comparing the new P-T-t data from the northern Wilson Terrane with those from the southern Wilson Terrane, a common tectono-metamorphic history becomes evident for a 600 km long sector of the Ross Orogenic belt at the Pacific end of the Transantarctic Mountains, at least since the gramilite-facies metamorphic event. (C) 1999 Elsevier Science B.V. All rights reserved.</t>
  </si>
  <si>
    <t>Univ Wurzburg, Inst Mineralog, D-97074 Wurzburg, Germany; Univ Munster, Inst Mineral, D-48149 Munster, Germany; Bundesanstalt Geowissensch &amp; Rohstoffe, D-30631 Hannover, Germany</t>
  </si>
  <si>
    <t>University of Wurzburg; University of Munster</t>
  </si>
  <si>
    <t>Schüssler, U (corresponding author), Univ Wurzburg, Inst Mineralog, Am Hubland, D-97074 Wurzburg, Germany.</t>
  </si>
  <si>
    <t>Will, Thomas/JTV-4145-2023</t>
  </si>
  <si>
    <t>JAN 31</t>
  </si>
  <si>
    <t>10.1016/S0301-9268(98)00091-6</t>
  </si>
  <si>
    <t>158PT</t>
  </si>
  <si>
    <t>WOS:000078124800006</t>
  </si>
  <si>
    <t>Yuan, XJ; Martinson, DG; Liu, WT</t>
  </si>
  <si>
    <t>Effect of air-sea-ice interaction on winter 1996 Southern Ocean subpolar storm distribution</t>
  </si>
  <si>
    <t>ANTARCTIC CIRCUMPOLAR CURRENT; HARMONIC STANDING WAVES; QUASI-STATIONARY WAVES; SOUTHWESTERN ROSS SEA; KATABATIC WIND REGIME; TERRA-NOVA BAY; ATMOSPHERIC CIRCULATION; WEDDELL SEA; MESOSCALE CYCLOGENESIS; POLAR LOWS</t>
  </si>
  <si>
    <t>Air-sea-ice interaction processes in the Southern Ocean are investigated utilizing space-observed surface winds, sea ice concentration, and sea surface temperature (SST) from September through December, 1996. The sea ice edge (SIE) shows three ice-extent maxima around the Antarctic during September and October when sea ice coverage is maximum. They are located in the central Indian Ocean, east of the Ross Sea, and in the eastern Weddell Gyre. During September and October, most of the strong and long lasting storms initiate northeast of the three sea ice maxima. Such spatial distributions of storms and sea ice reflect coupling processes of the air-sea-ice interaction. A relatively stable, wave number 3 atmospheric circulation pattern that is believed to be fixed by the land-ocean distribution prevails during the ice maximum season. The ice-extent maxima coincide with strong southerlies and divergent wind fields associated with this pattern, which suggests that the mean atmospheric circulation determines the ice distribution. The ice-extent maxima can enhance the regional meridional surface pressure gradient and therefore strengthen the westerly winds north of the ice edge. The decreasing ice extent east of the ice maxima creates a local zonal thermal gradient which enhances local southerlies. This positive feedback between the wave pattern in the mean atmospheric circulation and ice distribution partially causes the eastward propagation of the ice maxima and also provides a favorable condition for cyclogenesis northeast of the ice-extent maxima. The mechanism of the cyclogenesis is the baroclinic instability caused by the cold air blown from the ice pack to the warm open-ocean waters. Where the SST is warmest off the SIE and the southerlies are the strongest, the potential for cyclogenesis is most likely. This is consistent with the observations.</t>
  </si>
  <si>
    <t>Columbia Univ, Lamont Doherty Geol Observ, Palisades, NY 10964 USA; CALTECH, Jet Prop Lab 300 323, Pasadena, CA 91109 USA</t>
  </si>
  <si>
    <t>Columbia University; National Aeronautics &amp; Space Administration (NASA); NASA Jet Propulsion Laboratory (JPL); California Institute of Technology</t>
  </si>
  <si>
    <t>xyuan@ldeo.columbia.edu; dgm@ldeo.columbia.edu; liu@pacific.jpl.nasa.gov</t>
  </si>
  <si>
    <t>Yuan, Xiaojun/AAI-7770-2020</t>
  </si>
  <si>
    <t>Yuan, Xiaojun/0000-0002-6530-1619</t>
  </si>
  <si>
    <t>JAN 27</t>
  </si>
  <si>
    <t>D2</t>
  </si>
  <si>
    <t>10.1029/98JD02719</t>
  </si>
  <si>
    <t>160QJ</t>
  </si>
  <si>
    <t>WOS:000078242200004</t>
  </si>
  <si>
    <t>Fontana, A; Ciavatta, ML; Amodeo, P; Cimino, G</t>
  </si>
  <si>
    <t>Single solution phase conformation of new antiproliferative cembranes</t>
  </si>
  <si>
    <t>TETRAHEDRON</t>
  </si>
  <si>
    <t>TOBACCO</t>
  </si>
  <si>
    <t>Two new cembranes (2 and 3) have been isolated from thr extract of the Antarctic sponge Lissodendoryx flabellata. Their structural elucidation has been performed by spectroscopic techniques, whereas the absolute configuration of the secondary carbinolic center was inferred by Mosher's method. The absolute stereochemistry of the second asymmetric carbon, as well as the solution conformation of 2, has been determined by a computational approach based on conformational search, restrained molecular dynamics and semi-empirical calculations. The main product 2 showed cytotoxic and anti-proliferative activity against mammalian tumor cells. (C) 1999 Elsevier Science Ltd. All rights reserved.</t>
  </si>
  <si>
    <t>Fontana, A (corresponding author), CNR, Ist Chim Mol Interesse Biol, Via Toiano 6, I-80072 Arco, Italy.</t>
  </si>
  <si>
    <t>font@trinc.icmib.na.cnr.it</t>
  </si>
  <si>
    <t>Fontana, Angelo/AAO-2741-2021; Fontana, Angelo/C-3354-2012; Amodeo, Pietro/P-1800-2015; CIAVATTA, MARIA LETIZIA/F-6722-2013</t>
  </si>
  <si>
    <t>Fontana, Angelo/0000-0002-5453-461X; Amodeo, Pietro/0000-0002-6439-7575; CIAVATTA, MARIA LETIZIA/0000-0002-7308-1011</t>
  </si>
  <si>
    <t>0040-4020</t>
  </si>
  <si>
    <t>Tetrahedron</t>
  </si>
  <si>
    <t>JAN 22</t>
  </si>
  <si>
    <t>10.1016/S0040-4020(98)01092-8</t>
  </si>
  <si>
    <t>159BR</t>
  </si>
  <si>
    <t>WOS:000078152400022</t>
  </si>
  <si>
    <t>Chu, LT; Chu, L</t>
  </si>
  <si>
    <t>Studies of HBr uptake on ice films at 188 K</t>
  </si>
  <si>
    <t>POLAR STRATOSPHERIC CLOUDS; NITRIC-ACID; HETEROGENEOUS CHEMISTRY; ATMOSPHERIC BROMINE; OZONE DEPLETION; VAPOR-PRESSURES; ANTARCTIC OZONE; WATER-ICE; HCL; SURFACES</t>
  </si>
  <si>
    <t>The interaction of HBr with ice films has been studied in a fast-flow reactor, and the formation of HBr.3H(2)O and HBr.2H(2)O near the ice film surface was determined at 188 K. The existence of the hydrates was further verified by the construction of a low-temperature HBr-ice phase diagram under the experimental conditions. Hydrate formation is a critical process in understanding the higher HBr uptake on ice films and the heterogeneous reaction mechanism involving HBr on the ice surface. The effects of total pressure and ice film thickness on HBr uptake were also investigated. The co-uptake of HBr and HCl showed that the HBr uptake was in general more efficient than that of HCl. This study provides the detailed thermodynamic properties of HBr on ice at the pressure range of 10(-8) - 10(-5) Torr and 180-220 K.</t>
  </si>
  <si>
    <t>SUNY Albany, Wadsworth Ctr, Albany, NY 12201 USA; SUNY Albany, Dept Envrionm Hlth &amp; Toxicol, Albany, NY 12201 USA</t>
  </si>
  <si>
    <t>Wadsworth Center; State University of New York (SUNY) System; State University of New York (SUNY) Albany; State University of New York (SUNY) System; State University of New York (SUNY) Albany</t>
  </si>
  <si>
    <t>Chu, LT (corresponding author), SUNY Albany, Wadsworth Ctr, Albany, NY 12201 USA.</t>
  </si>
  <si>
    <t>JAN 21</t>
  </si>
  <si>
    <t>10.1021/jp9833799</t>
  </si>
  <si>
    <t>174NZ</t>
  </si>
  <si>
    <t>WOS:000079042400009</t>
  </si>
  <si>
    <t>Roscoe, HK; Lachlan-Cope, TA; Roscoe, J</t>
  </si>
  <si>
    <t>Feasibility of an airborne TV camera as a size spectrometer for cloud droplets in daylight</t>
  </si>
  <si>
    <t>APPLIED OPTICS</t>
  </si>
  <si>
    <t>Photographs of clouds taken with a camera with a large aperture ratio must have a short depth of focus to resolve small droplets. Hence the sampling volume is small, which limits the number of droplets and gives rise to a large statistical error on the number counted. However, useful signals can be obtained with a small aperture ratio, which allows for a sample volume large enough for counting cloud droplets at aircraft speeds with useful spatial resolution. The signal is sufficient to discriminate against noise from a sunlit cloud as background, provided the bandwidth of the light source and camera are restricted, and against readout noise. Hence, in principle, an instrument to sample the size distribution of cloud droplets from aircraft in daylight can be constructed from a simple TV camera and an array of laser diodes, without any components or screens external to the aircraft window. (C) 1999 Optical Society of America.</t>
  </si>
  <si>
    <t>h.roscoe@bas.ac.uk</t>
  </si>
  <si>
    <t>OPTICAL SOC AMER</t>
  </si>
  <si>
    <t>2010 MASSACHUSETTS AVE NW, WASHINGTON, DC 20036 USA</t>
  </si>
  <si>
    <t>1559-128X</t>
  </si>
  <si>
    <t>2155-3165</t>
  </si>
  <si>
    <t>APPL OPTICS</t>
  </si>
  <si>
    <t>Appl. Optics</t>
  </si>
  <si>
    <t>JAN 20</t>
  </si>
  <si>
    <t>10.1364/AO.38.000441</t>
  </si>
  <si>
    <t>Optics</t>
  </si>
  <si>
    <t>160QT</t>
  </si>
  <si>
    <t>WOS:000078243000004</t>
  </si>
  <si>
    <t>Herzfeld, UC; Matassa, MS</t>
  </si>
  <si>
    <t>An atlas of Antarctica north of 72.1°S from GEOSAT radar altimeter data</t>
  </si>
  <si>
    <t>4th Circumpolar Symposium on Remote Sensing of the Polar Environments</t>
  </si>
  <si>
    <t>APR 29-MAY 01, 1996</t>
  </si>
  <si>
    <t>TECH UNIV DENMARK, LYNGBY, DENMARK</t>
  </si>
  <si>
    <t>TECH UNIV DENMARK</t>
  </si>
  <si>
    <t>ICE-SHEET; GROUNDING LINE; STREAM; MODEL; GLACIERS; SHELF</t>
  </si>
  <si>
    <t>Although the importance of Antarctica in the global system has long been recognized and discussed in the literature, data as basic as topographic maps of a resolution amenable to geophysical analysis are still lacking for large parts of the continent. Mapping, surveying, and monitoring of the large expanses in remote areas are facilitated by remote-sensing technology. The best source for topographic mapping is satellite altimetry. It is often argued that satellite radar altimeter data over ice cannot be used to map ice surfaces with a slope exceeding 0.65 degrees. In the work presented in this paper, we extend the limits of altimeter data evaluation using (a) geostatistical methods, and (b) an atlas approach to mapping all of Antarctica north of 72.1 degrees S at 3-km resolution. Ordinary Kriging is applied to altimeter data from the GEOSAT Geodetic Mission, selected for its denser coverage as compared to the Exact Repeat Mission. The resultant maps yield a wealth of new information, in particular along the margin of the East Antarctic Ice Sheet including location and topography of drainage systems of small glaciers and location of some of the ice shelves. The atlas sheets Riiser-Larsen Peninsula, Prince Olav Coast, Mawson Coast West (Kemp Coast), Lambert Glacier, Ingrid Christensen Coast, Pennell Coast, Napier Mountains, Knox Coast, Sabrina Coast, and Antarctic Peninsula (Graham Land) are presented and analyzed. Repeated mapping facilitates the monitoring of changes in surface elevation may indicate dynamically and climatically induced mass changes of the East Antarctic Ice Sheet.</t>
  </si>
  <si>
    <t>Univ Trier, Fachbereich Geog Geowissensch, D-54286 Trier, Germany; Univ Colorado, Boulder, CO 80309 USA</t>
  </si>
  <si>
    <t>Universitat Trier; University of Colorado System; University of Colorado Boulder</t>
  </si>
  <si>
    <t>Univ Trier, Fachbereich Geog Geowissensch, D-54286 Trier, Germany.</t>
  </si>
  <si>
    <t>Herzfeld, Ute/AAE-5115-2019</t>
  </si>
  <si>
    <t>Herzfeld, Ute/0000-0002-5694-4698</t>
  </si>
  <si>
    <t>10.1080/014311699213424</t>
  </si>
  <si>
    <t>167YF</t>
  </si>
  <si>
    <t>WOS:000078661900003</t>
  </si>
  <si>
    <t>Herzfeld, UC</t>
  </si>
  <si>
    <t>Geostatistical interpolation and classification of remote sensing data from ice surfaces</t>
  </si>
  <si>
    <t>SEA-FLOOR CLASSIFICATION; RADAR ALTIMETRY; DISCRIMINATION; IMAGERY; TERRAIN; GLACIER; SHEETS; MODELS; SURGE</t>
  </si>
  <si>
    <t>Geostatistical methods for interpolation and extrapolation of irregularly spaced data are kriging methods, a family of methods based on the least-squares optimization principle and usually introduced in a probabilistic framework ('geostatistical estimation'). The difference between kriging and numerical interpolation methods lies in the exploitation of a spatial structure function, the variogram, in the optimization. Usefulness of geostatistical interpolation for glaciological data analysis has been demonstrated a number of times. Application of ordinary kriging to satellite radar altimeter data from Antarctic ice streams yields maps of 3-km resolution that facilitate glaciodynamic investigations. The technique is exemplified here for 1995 ERS-1 data, and the resultant new map of the entire Lambert Glacier/Amery Ice Shelf area including upper Lambert Glacier and other tributaries of (lower) Lambert Glacier (59 degrees-79 degrees E/68 degrees-75 degrees S) is presented. While interpolation utilizes the primary information in the data, a geostatistical surface classification method is developed to derive secondary information from elevation and backscatter data. Based on quantitative properties of the variogram, elements of surface structures are used for mapping and segmentation of an area into provinces homogeneous in surface characteristics. A critical issue in the analysis of satellite Synthetic Aperture Radar (SAR) data is the availability of ground truthing to distinguish between intensity variations caused by subscale-resolution geophysical variability and noise, and to determine small-scale sources of variations in backscattering. During the 1993-1995 surge of Bering Glacier, Alaska, GPS-located video data were collected from small aircraft and analyzed systematically with the geostatistical ice surface classification system ICECLASS. The objectives are to (a) help understand the relations between ice velocities, surface strain states, and progression of deformation processes during the surge, and (b) provide a technique for surface classification based on video data, SAR data, or image data in general.</t>
  </si>
  <si>
    <t>Univ Trier, Fachbereich Geog Geowissensch, D-54286 Trier, Germany; Univ Colorado, Inst Arctic &amp; Alpine Res, Boulder, CO 80309 USA</t>
  </si>
  <si>
    <t>10.1080/014311699213460</t>
  </si>
  <si>
    <t>WOS:000078661900007</t>
  </si>
  <si>
    <t>Legrand, M; Wagenbach, D</t>
  </si>
  <si>
    <t>Impact of the Cerro Hudson and Pinatubo volcanic eruptions on the Antarctic air and snow chemistry</t>
  </si>
  <si>
    <t>SOUTH POLAR SNOW; ICE-SHEET; SEASONAL-VARIATIONS; MOUNT-PINATUBO; PAST VOLCANISM; AEROSOL; ATMOSPHERE; SULFUR; CLOUDS; RECORD</t>
  </si>
  <si>
    <t>Atmospheric records of sulfate and MSA in aerosols were obtained by year-round samplings in the boundary layer at two coastal Antarctic sites, Neumayer (1983-1995) and Dumont d'Urville (1991-1997), At Dumont D'Urville and Neumayer the non-sea-salt sulfate (nssSO(4)(2-)) level observed from October 1991 to October 1993 exceeded by 44 and 48 ng m(-3), respectively, the mean level (similar to 150 ng m(-3)) observed during nonvolcanic years. The Neumayer and Dumont d'Urville records first exhibit spring (October to December) 1991 nssSO(4)(2-) concentrations exceeding mean spring concentrations by some 100 to 150 ng m(-3) caused by a significant poleward transport of the Cerro Hudson volcanic aerosol in the lower stratosphere beneath the polar vortex and possibly in the middle/upper troposphere. Limited to 10 ng m(-3) during winter 1992, the nssSO(4)(2-) perturbation reached 78 ng m(-3) in fall 1993 at Neumayer. The latter enhancement corresponds to the input of the Pinatubo volcanic aerosol advected through stratosphere/troposphere air mass exchanges. An enhancement of nssSO(4)(2-) concentrations is also recorded in snow layers deposited between 1991 and 1993 at various sites located over the high Antarctic plateau. On the basis of these firn data the relative impact of the three latest volcanic eruptions of global concern, namely, Mount Agung (1963), El Chichon (1982), and Pinatubo (together with Cerro Hudson) (1991), was evaluated in terms of sulfate input at high southern latitudes. The fallout of sulfate in central Antarctic snow following the Cerro Hudson/Pinatubo eruptions was slightly lower than fallout after the Mount Agung eruption. Sulfate fallout after El Chichon was 2 to 3 times lower than that from either Mount Agung or Pinatubo. The enhancement of sulfate levels detected in central Antarctic snow deposits during the 1991-1993 time period allows us to estimate a mean atmospheric sulfate perturbation of around 60 ng m(-3) in the boundary layer of these regions (i.e., at least 35% higher than that seen at coastal sites). This observation suggests that coastal Antarctic regions are less sensitive than the high plateau in detecting volcanic sulfate fallouts following eruptions of global concern. Atmospheric near-surface, year-round sampling achieved at coastal Antarctic sites reveals no significant enhancement of the nitrate level over 1992 and 1993, suggesting that volcanic aerosols have had a limited effect on the transfer of nitric acid from the lower Antarctic stratosphere to the boundary layer in these regions.</t>
  </si>
  <si>
    <t>CNRS, Lab Glaciol &amp; Geophys Environm, F-38402 St Martin Dheres, France; Heidelberg Univ, Inst Umweltphys, D-69120 Heidelberg, Germany</t>
  </si>
  <si>
    <t>Centre National de la Recherche Scientifique (CNRS); Ruprecht Karls University Heidelberg</t>
  </si>
  <si>
    <t>CNRS, Lab Glaciol &amp; Geophys Environm, 54 Rue Moliere,BP 95, F-38402 St Martin Dheres, France.</t>
  </si>
  <si>
    <t>legrand@glaciog.ujf-grenoble.fr; wa@uphys1.phys.uni-heidelberg.de</t>
  </si>
  <si>
    <t>D1</t>
  </si>
  <si>
    <t>10.1029/1998JD100032</t>
  </si>
  <si>
    <t>159RU</t>
  </si>
  <si>
    <t>WOS:000078188700001</t>
  </si>
  <si>
    <t>Röckmann, T; Brenninkmeijer, CAM; Crutzen, PJ; Platt, U</t>
  </si>
  <si>
    <t>Short-term variations in the 13C/12C ratio of CO as a measure of Cl activation during tropospheric ozone depletion events in the Arctic</t>
  </si>
  <si>
    <t>LOWER ANTARCTIC STRATOSPHERE; SUNRISE EXPERIMENT 1992; LARGE (CO)-C-13 DEFICIT; BOUNDARY-LAYER; POLAR SUNRISE; HOLE CHEMISTRY; DESTRUCTION; CARBON; SPITSBERGEN; ATMOSPHERE</t>
  </si>
  <si>
    <t>Analyses of the CO stable isotopic composition in surface air samples collected at high northern latitudes during Arctic spring reveal significant depletions in the C-13 content of atmospheric CO, which coincide with episodes of tropospheric O-3 loss. This isotope signal can be explained by production of small amounts of highly C-13-depleted CO, formed in Cl-initiated oxidation of CH4 due to the presence of enhanced CI levels during O-3 depletion events. Using the recently measured fractionation factor for the CH4 + Cl reaction, the observed C-13 depletion is employed to estimate the time-integrated amount of Cl radicals encountered by the O-3 depleted air mass. The results support findings obtained from measurements of hydrocarbon mixing ratios during O-3 depletion events. The C-13 content of atmospheric CO can thus be used as a sensitive indicator for enhanced Cl radical levels in the atmosphere.</t>
  </si>
  <si>
    <t>Max Planck Inst Chem, Abt Luftchem, D-55020 Mainz, Germany; Heidelberg Univ, Inst Umweltphys, D-69120 Heidelberg, Germany</t>
  </si>
  <si>
    <t>Max Planck Society; Ruprecht Karls University Heidelberg</t>
  </si>
  <si>
    <t>Röckmann, T (corresponding author), Max Planck Inst Chem, Abt Luftchem, POB 3060, D-55020 Mainz, Germany.</t>
  </si>
  <si>
    <t>roeckman@mpch-mpg.de</t>
  </si>
  <si>
    <t>Crutzen, Paul J/F-6044-2012; Brenninkmeijer, Carl/B-6860-2013; Platt, Ulrich/HZM-2289-2023; Rockmann, Thomas/F-4479-2015</t>
  </si>
  <si>
    <t>Rockmann, Thomas/0000-0002-6688-8968</t>
  </si>
  <si>
    <t>10.1029/1998JD100020</t>
  </si>
  <si>
    <t>WOS:000078188700009</t>
  </si>
  <si>
    <t>Chipperfield, MP</t>
  </si>
  <si>
    <t>Multiannual simulations with a three-dimensional chemical transport model</t>
  </si>
  <si>
    <t>GENERAL-CIRCULATION MODEL; LOWER ARCTIC STRATOSPHERE; DATA ASSIMILATION SYSTEM; 3-DIMENSIONAL SIMULATION; MIDDLE ATMOSPHERE; SULFURIC-ACID; TOTAL OZONE; WINTER; TROPOSPHERE; CHLORINE</t>
  </si>
  <si>
    <t>An off-line three-dimensional stratospheric chemical transport model (CTM) has been developed and integrated in a series of 6-year experiments covering 1991 to 1997. The model has a detailed chemistry scheme and is forced by the meteorological analyses for the temperatures and horizontal winds, while the vertical motion is diagnosed using a radiation scheme. By using the meteorological analyses, the model captures the interannual variability in chlorine activation in the Arctic winter lower stratosphere, as well as the much more regular, strong activation in the Antarctic. The model fields show generally good agreement with long time series of ground-based observations. In particular, the model simulations of column O-3 are excellent in terms of capturing the magnitude and day-to-day, seasonal, and interannual variations at all latitudes. However, a large model/observation discrepancy for O-3 occurs at high latitudes during the summer, when the model overestimates the O-3 profile throughout the lower and mid-stratosphere. The model also reproduces many features in ground-based observations of HCl, ClONO2, HNO3, and NO2, such as short-term variability, the seasonal cycles, and winter/spring enhancements of ClONO2 at northern midlatitudes. By running the model without cold, chlorine activating heterogeneous reactions the effect of polar land subpolar) processing on midlatitudes has been estimated. Polar processing results in 2-3% less O-3 at 50 degrees N throughout the year, and around 5% less O-3 at 50 degrees S. Direct chlorine activation on enhanced midlatitude aerosol contributes 1% to column ozone depletion at mid and low latitudes in early 1992. The enhanced aerosol also caused column ozone reductions of around 3% at 45 degrees N throughout 1992 and 1993. However, the CTM runs confirm the suggestion interannual dynamical variability (which may be partly driven by the radiative effects of the aerosols) contributed to the large negative ozone anomaly in northern midlatitudes in 1992/1993.</t>
  </si>
  <si>
    <t>Univ Cambridge, Dept Chem, Cambridge CB2 1EW, England</t>
  </si>
  <si>
    <t>Univ Cambridge, Dept Chem, Lensfield Rd, Cambridge CB2 1EW, England.</t>
  </si>
  <si>
    <t>martyn@atm.ch.cam.ac.uk</t>
  </si>
  <si>
    <t>Chipperfield, Martyn/0000-0002-6803-4149</t>
  </si>
  <si>
    <t>10.1029/98JD02597</t>
  </si>
  <si>
    <t>WOS:000078188700017</t>
  </si>
  <si>
    <t>Rinsland, CP; Salawitch, RJ; Gunson, MR; Solomon, S; Zander, R; Mahieu, E; Goldman, A; Newchurch, MJ; Irion, FW; Chang, AY</t>
  </si>
  <si>
    <t>Polar stratospheric descent of NOy and CO and Arctic denitrification during winter 1992-1993</t>
  </si>
  <si>
    <t>TOTAL REACTIVE NITROGEN; SOLAR OCCULTATION SPECTRA; MIDDLE ATMOSPHERE; ANTARCTIC STRATOSPHERE; 2-DIMENSIONAL MODEL; APRIL 1993; CARBON-MONOXIDE; NOVEMBER 1994; NITRIC-OXIDE; VORTEX AIR</t>
  </si>
  <si>
    <t>Observations inside the November 1994 Antarctic stratospheric vortex and inside the April 1993 remnant Arctic stratospheric vortex by the Atmospheric Trace Molecule Spectroscopy (ATMOS) Fourier transform spectrometer are reported. In both instances, elevated volume mixing ratios (VMRs) of carbon monoxide (CO) were measured. A peak Antarctic CO VMR of 60 ppbv (where 1 ppbv = 10(-9) per unit volume) was measured at a potential temperature (Theta) of 710 K (similar to 27 km), about 1 km below the altitude of a pocket of elevated NOy (total reactive nitrogen) at a deep minimum in N2O (&lt;5 ppbv). The Arctic observations also show a region of elevated vortex CO with a peak VMR of 90 ppbv at 630-670 K (similar to 25 km) but no corresponding enhancement in NOy, perhaps because of stronger dynamical activity in the northern hemisphere polar winter and/or interannual variability in the production of mesospheric NO. By comparing vortex and extravortex observations of NOy obtained at the same N2O VMR, Arctic vortex denitrification of 5 +/- 2 ppbv at 470 K (similar to 18 km) is inferred. We show that our conclusion of substantial Arctic winter 1992-1993 denitrification is robust by comparing our extravortex observations with previous polar measurements obtained over a wide range of winter conditions. Correlations of NOy with N2O measured at the same Theta by ATMOS in the Arctic vortex and at midlatitudes on board the ER-2 aircraft several weeks later lie along the same mixing line. The result demonstrates the consistency of the two data sets and confirms that the ER-2 sampled fragments of the denitrified Arctic vortex following its breakup, An analysis of the ATMOS Arctic measurements of total hydrogen shows no evidence for significant dehydration inside the vortex.</t>
  </si>
  <si>
    <t>NASA, Div Atmospher Sci, Langley Res Ctr, Hampton, VA 23681 USA; NOAA, Aeron Lab, Boulder, CO 80303 USA; Univ Alabama, Dept Atmospher Sci, Huntsville, AL 35899 USA; CALTECH, Jet Prop Lab, Pasadena, CA 91109 USA; Univ Denver, Dept Phys, Denver, CO 80208 USA; Univ Liege, Inst Astrophys &amp; Geophys, B-4000 Liege, Belgium</t>
  </si>
  <si>
    <t>National Aeronautics &amp; Space Administration (NASA); NASA Langley Research Center; National Oceanic Atmospheric Admin (NOAA) - USA; University of Alabama System; University of Alabama Huntsville; National Aeronautics &amp; Space Administration (NASA); NASA Jet Propulsion Laboratory (JPL); California Institute of Technology; University of Denver; University of Liege</t>
  </si>
  <si>
    <t>Rinsland, CP (corresponding author), NASA, Div Atmospher Sci, Langley Res Ctr, Hampton, VA 23681 USA.</t>
  </si>
  <si>
    <t>Salawitch, Ross/B-4605-2009</t>
  </si>
  <si>
    <t>Mahieu, Emmanuel/0000-0002-5251-0286</t>
  </si>
  <si>
    <t>10.1029/1998JD100034</t>
  </si>
  <si>
    <t>WOS:000078188700022</t>
  </si>
  <si>
    <t>Campin, JM; Fichefet, T; Duplessy, JC</t>
  </si>
  <si>
    <t>Problems with using radiocarbon to infer ocean ventilation rates for past and present climates</t>
  </si>
  <si>
    <t>ocean circulation; models; paleoceanography; last glacial maximum; C-14; air-sea interface</t>
  </si>
  <si>
    <t>LAST GLACIAL MAXIMUM; NORTH-ATLANTIC OCEAN; THERMOHALINE CIRCULATION; WORLD OCEAN; DEEP-WATER; GLOBAL OCEAN; MODEL; SURFACE; AGE</t>
  </si>
  <si>
    <t>The oceanic C-14 distribution reflects mainly the circulation pattern and intensity, but is also sensitive to the exchange processes at the air-sea interface. In order to separate the relative contributions of both effects (that might have changed in the past), we incorporate in an ocean general circulation model two passive tracers, namely, the normalized radiocarbon ratio (Delta(14)C) and the actual age of water. We quantify, for both present and glacial conditions, the decoupling between the C-14 ventilation rate and the circulation intensity as the difference between the simulated C-14 age and actual age of water. The C-14 age of the model Antarctic Bottom Water (ABBW) appears systematically older than its actual age, the discrepancy being larger for glacial conditions because of the more extensive Antarctic sea-ice cover. Our results suggest that the AABW flow rate could have been stronger than today during the Last Glacial Maximum, contrary to what might be inferred from a naive interpretation of C-14 measurements in deep-sea sediment cores. (C) 1999 Elsevier Science B.V. All rights reserved.</t>
  </si>
  <si>
    <t>Univ Catholique Louvain, Inst Astron &amp; Geophys G Lemaitre, B-1348 Louvain, Belgium; CEA, CNRS, Lab Sci Climat &amp; Environm, Lab Mixte, F-91198 Gif Sur Yvette, France</t>
  </si>
  <si>
    <t>Universite Catholique Louvain; CEA; Centre National de la Recherche Scientifique (CNRS); Universite Paris Saclay</t>
  </si>
  <si>
    <t>campin@astr.ucl.ac.be</t>
  </si>
  <si>
    <t>JAN 15</t>
  </si>
  <si>
    <t>10.1016/S0012-821X(98)00255-6</t>
  </si>
  <si>
    <t>155DF</t>
  </si>
  <si>
    <t>WOS:000077930300002</t>
  </si>
  <si>
    <t>Lambert, JC; Van Roozendael, M; De Mazière, M; Simon, PC; Pommereau, JP; Goutail, F; Sarkissian, A; Gleason, JF</t>
  </si>
  <si>
    <t>Investigation of pole-to-pole performances of spaceborne atmospheric chemistry sensors with the NDSC</t>
  </si>
  <si>
    <t>Conference on Global Measurement Systems for Atmospheric Composition</t>
  </si>
  <si>
    <t>MAY, 1997</t>
  </si>
  <si>
    <t>TORONTO, CANADA</t>
  </si>
  <si>
    <t>HALOGEN OCCULTATION EXPERIMENT; ABSORPTION CROSS-SECTIONS; TOTAL OZONE DATA; RADIATIVE-TRANSFER MODELS; GROUND-BASED MEASUREMENTS; ZENITH-SKY SPECTROMETERS; AIR-MASS FACTORS; TEMPERATURE-MEASUREMENTS; BACKSCATTER ULTRAVIOLET; VISIBLE MEASUREMENTS</t>
  </si>
  <si>
    <t>Spaceborne atmospheric chemistry sensors provide unique access to the distribution and variation of the concentration of many trace species on the global scale. However. since the measurements and the retrieval algorithms are sensitive to a variety of instrumental as well as atmospheric sources of error, they need to be validated carefully by correlative measurements. The quality control and validation of satellite measurements on the global scale, as well as in the long term, is one of the goals of the Network for the Detection of Stratospheric Change (NDSC). Started in 1991, at the present time the NDSC includes five primary and two dozen complementary stations distributed from the Arctic to the Antarctic, comprising a variety of instruments such as UV-visible spectrometers, Fourier transform infrared spectrometers, lidars, and millimeter-wave radiometers. After an overview of the main sources of uncertainty which could perturb the measurements from space, and of the ground-based data provided by the NDSC for their validation, this paper will focus, as an example, on the measurement of total ozone by Earth Probe Total Ozone Mapping Spectrometers (TOMS), ADEOS TOMS and ERS-2 Global Ozone Monitoring Experiment (GOME) and their validations. The data recorded between summer 1996 and April 1997 by 16 Systeme d'Analyse par observations zenithales (SAOZ)NV-visible spectrometers distributed over a range of latitudes from the Arctic to the Antarctic, and by Dobson and Brewer spectrophotometers operating at selected sites of the NDSC alpine and Antarctic stations, are used to investigate the solar zenith angle (SZA) dependence, the dispersion, the time-dependent drift, and the possible differences of sensitivity of the space-based sensors. Although the comparison demonstrates an excellent agreement to within +/-2%-4% between all space- and ground-based instruments at northern middle latitudes, it also reveals significant systematic features, such as a SZA dependence with TOMS beyond 80 degrees, a seasonal SZA dependence with COME beyond 70 degrees, a systematic bias of a few percent between satellite and SAOZ observations of low ozone columns in the southern Tropics, a difference in sensitivity to ozone between the COME and ground-based sensors at high latitudes, and an interhemispheric difference of TOMS with the ground-based observations.</t>
  </si>
  <si>
    <t>Inst Aeron Spatiale Belgique, BIRA, B-1180 Brussels, Belgium; CNRS, Serv Aeron, F-91371 Verrieres Buisson, France; NASA, Goddard Space Flight Ctr, Greenbelt, MD 20771 USA</t>
  </si>
  <si>
    <t>Centre National de la Recherche Scientifique (CNRS); National Aeronautics &amp; Space Administration (NASA); NASA Goddard Space Flight Center</t>
  </si>
  <si>
    <t>Lambert, JC (corresponding author), Inst Aeron Spatiale Belgique, BIRA, Ave Circulaire 3, B-1180 Brussels, Belgium.</t>
  </si>
  <si>
    <t>Gleason, James/E-1421-2012; Lambert, Jean-Christopher/IUN-1096-2023</t>
  </si>
  <si>
    <t>Lambert, Jean-Christopher/0000-0001-7243-6848</t>
  </si>
  <si>
    <t>10.1175/1520-0469(1999)056&lt;0176:IOPTPP&gt;2.0.CO;2</t>
  </si>
  <si>
    <t>160JC</t>
  </si>
  <si>
    <t>WOS:000078226000004</t>
  </si>
  <si>
    <t>Semiletov, IP</t>
  </si>
  <si>
    <t>Aquatic sources and sinks of CO2 and CH4 in the polar regions</t>
  </si>
  <si>
    <t>MARGINAL ICE-ZONE; CARBON-DIOXIDE; ATMOSPHERIC CO2; INORGANIC CARBON; BERING SEA; TROPOSPHERIC METHANE; PACIFIC-OCEAN; AIR-PRESSURE; SYSTEM; LAKES</t>
  </si>
  <si>
    <t>The highest concentration and greatest seasonal amplitudes of atmospheric CO2 and CH4 occur at 60 degrees-70 degrees N, outside the 30 degrees-60 degrees N band where the main sources of anthropogenic CO2 and CH4 are located, indicating that the northern environment is a source of these gases. Based on the author's onshore and offshore arctic experimental results and literature data, an attempt was made to identify the main northern sources and sinks for atmospheric CH4 and CO2. The CH4 efflux from limnic environments in the north plays a significant role in the CH4 regional budget, whereas the role of the adjacent arctic adjacent seas in regional CH4 emission is small. This agrees with the aircraft data, which show a 10%-15% increase of CH4 over land when aircraft fly southward from the Arctic Basin. Offshore permafrost might add some CH4 into the atmosphere, although the preliminary data are not sufficient to estimate the effect. Evolution of the northern lakes might be considered as an important component of the climatic system. All-season data obtained in the delta system of the Lena River and typical northern lakes show that the freshwaters are supersaturated by CO2 with a drastic increase in the CO2 value during wintertime. The arctic and antarctic CO2 data presented here may be used to develop understanding of the processes controlling CO2 flux in the polar seas. It is shown that Arctic seas are a sink for atmospheric CO2 though supersaturation by CO2 is obtained in areas influenced by riverine output and in coastal sites. The pCO(2) difference between the surface of the Southern Ocean and atmosphere observed in the austral autumn shows that the area east of 7 degrees W might be considered a source of CO2 into the atmosphere, whereas the area west of 7 degrees W is a net sink of CO2. This is corroborated with literature data that indicate an overestimate of the role of antarctic waters as a sink for atmospheric CO2.</t>
  </si>
  <si>
    <t>Russian Acad Sci, Far E Sci Ctr, Pacific Oceanol Inst, Arctic Reg Ctr, Vladivostok 690041, Russia</t>
  </si>
  <si>
    <t>Ilichev Pacific Oceanological Institute; Russian Academy of Sciences</t>
  </si>
  <si>
    <t>Russian Acad Sci, Far E Sci Ctr, Pacific Oceanol Inst, Arctic Reg Ctr, 43 Baltiyskaya St, Vladivostok 690041, Russia.</t>
  </si>
  <si>
    <t>IGOR7@ARC.MARINE.SU</t>
  </si>
  <si>
    <t>Semiletov, Igor P/B-3616-2013; Semiletov, Igor/CAJ-4412-2022</t>
  </si>
  <si>
    <t>Semiletov, Igor/0000-0003-1741-6734</t>
  </si>
  <si>
    <t>1520-0469</t>
  </si>
  <si>
    <t>10.1175/1520-0469(1999)056&lt;0286:ASASOC&gt;2.0.CO;2</t>
  </si>
  <si>
    <t>WOS:000078226000012</t>
  </si>
  <si>
    <t>Trey, H; Cooper, AK; Pellis, G; della Vedova, B; Cochrane, G; Brancolini, G; Makris, J</t>
  </si>
  <si>
    <t>Transect across the West Antarctic rift system in the Ross Sea, Antarctica</t>
  </si>
  <si>
    <t>wide-angle reflection/refraction; extension; continental rift; transtension; Ross Sea</t>
  </si>
  <si>
    <t>In 1994, the ACRUP (Antarctic Crustal Profile) project recorded a 670-km-long geophysical transect across the southern Ross Sea to study the velocity and density structure of the crust and uppermost mantle of the West Antarctic rift system. Ray-trace modeling of P- and S-waves recorded on 47 ocean bottom seismograph (OBS) records, with strong seismic arrivals from airgun shots to distances of up to 120 km, show that crustal velocities and geometries vary significantly along the transect. The three major sedimentary basins (early-rift grabens), the Victoria Land Basin, the Central Trough and the Eastern Basin are underlain by highly extended crust and shallow mantle (minimum depth of about 16 km), Beneath the adjacent basement highs, Coulman High and Central High, Moho deepens, and lies at a depth of 21 and 24 km, respectively. Crustal layers have P-wave velocities that range from 5.8 to 7.0 km/s and S-wave velocities from 3.6 to 4.2 km/s. A distinct reflection (PiP) is observed on numerous OBS from an intra-crustal boundary between the upper and lower crust at a depth of about 10 to 12 km. Local zones of high velocities and inferred high densities are observed and modeled in the crust under the axes of the three major sedimentary basins. These zones, which are also marked by positive gravity anomalies, may be places where mafic dikes and sills pervade the crust. We postulate that there has been differential crustal extension across the West Antarctic rift system, with greatest extension beneath the early-rift grabens. The large amount of crustal stretching below the major rift basins may reflect the existence of deep crustal suture zones which initiated in an early stage of the rifting, defined areas of crustal weakness and thereby enhanced stress focussing followed by intense crustal thinning in these areas. The ACRUP data are consistent with the prior concept that most extension and basin down-faulting occulted in the Ross Sea during late Mesozoic time, with relatively small extension, concentrated in the western half of the Ross Sea, during Cenozoic time. (C) 1999 Elsevier Science B.V. All rights reserved.</t>
  </si>
  <si>
    <t>Univ Hamburg, Inst Geophys, D-20146 Hamburg 13, Germany; US Geol Survey, Menlo Park, CA 94025 USA; Osservatorio Geofis Sperimentale, Trieste, Italy</t>
  </si>
  <si>
    <t>University of Hamburg; United States Department of the Interior; United States Geological Survey; Istituto Nazionale di Oceanografia e di Geofisica Sperimentale</t>
  </si>
  <si>
    <t>Univ Hamburg, Inst Geophys, Bundesstr 55, D-20146 Hamburg 13, Germany.</t>
  </si>
  <si>
    <t>ht@gpm.dkrz.de</t>
  </si>
  <si>
    <t>10.1016/S0040-1951(98)00155-3</t>
  </si>
  <si>
    <t>169CH</t>
  </si>
  <si>
    <t>WOS:000078729600004</t>
  </si>
  <si>
    <t>Oliver, AE; Tablin, F; Walker, NJ; Crowe, JH</t>
  </si>
  <si>
    <t>The internal calcium concentration of human platelets increases during chilling</t>
  </si>
  <si>
    <t>BIOCHIMICA ET BIOPHYSICA ACTA-BIOMEMBRANES</t>
  </si>
  <si>
    <t>platelet; calcium; membrane phase transition; cold-induced activation; Indo-1</t>
  </si>
  <si>
    <t>THERMOTROPIC PHASE-TRANSITIONS; FLUORESCENT-PROBES; BLOOD-PLATELETS; ADENOSINE-TRIPHOSPHATASE; STIMULATED PLATELETS; MEMBRANE FLUIDITY; PHOSPHOLIPASE A2; THERMAL-SHOCK; SHAPE-CHANGE; FREE CA-2+</t>
  </si>
  <si>
    <t>Human platelets must be stored at 22 degrees C in blood banks, because of the well-known phenomenon of cold-induced activation. When human platelets are chilled below room temperature, they undergo shape change and vesicle secretion that resembles physiological agonist-mediated activation. The trigger for the cascade of events leading to platelet activation at hypothermic temperatures is not known, although an increase in the internal calcium concentration ([Ca](i)) due to passage of the platelet membranes through their thermotropic phase transition has been proposed. We report here that the fluorescent calcium-sensitive probe, Indo-1, has been used to estimate the internal calcium concentration of human platelets during a reduction in temperature from 20 degrees C to 5 degrees C at a rate of 0.5 degrees C/min. An increase on the order of 100 nM was recorded. Almost all of the increase in [Ca2+](i) occurs during the chilling process, as incubation of platelets for 1 h at low temperature did not lead to a continued calcium concentration increase. The increase in [Ca2+](i) during chilling is likely to be due to more than a single mechanism, but might include some release of the calcium stores from the dense tubule system. Loading platelets with the calcium chelator BAPTA (1,2-bis(2-aminophenoxy)ethane-N,N,N',N'-tetraacetic acid) dramatically reduced the increase in [Ca2+](i) seen during chilling. Antifreeze glycoproteins (AFGPs) isolated from the blood serum of Antarctic fishes, which are known to protect platelets from cold-induced activation, did not eliminate the rise in [Ca2+](i) during chilling, suggesting that signaling mechanisms are likely to be involved in cold-induced activation. (C) 1999 Elsevier Science B.V. All rights reserved.</t>
  </si>
  <si>
    <t>Univ Calif Davis, Sect Mol &amp; Cellular Biol, Davis, CA 95616 USA; Univ Calif Davis, Sch Vet Med, Dept Anat Physiol &amp; Cell Biol, Davis, CA 95616 USA</t>
  </si>
  <si>
    <t>University of California System; University of California Davis; University of California System; University of California Davis</t>
  </si>
  <si>
    <t>Oliver, AE (corresponding author), Univ Calif Davis, Sect Mol &amp; Cellular Biol, Davis, CA 95616 USA.</t>
  </si>
  <si>
    <t>aeoliver@ucdavis.edu</t>
  </si>
  <si>
    <t>NHLBI NIH HHS [NHLBI 57810-01] Funding Source: Medline</t>
  </si>
  <si>
    <t>NHLBI NIH HHS(United States Department of Health &amp; Human ServicesNational Institutes of Health (NIH) - USANIH National Heart Lung &amp; Blood Institute (NHLBI))</t>
  </si>
  <si>
    <t>0005-2736</t>
  </si>
  <si>
    <t>0006-3002</t>
  </si>
  <si>
    <t>BBA-BIOMEMBRANES</t>
  </si>
  <si>
    <t>Biochim. Biophys. Acta-Biomembr.</t>
  </si>
  <si>
    <t>JAN 12</t>
  </si>
  <si>
    <t>10.1016/S0005-2736(98)00239-9</t>
  </si>
  <si>
    <t>162BF</t>
  </si>
  <si>
    <t>WOS:000078324700032</t>
  </si>
  <si>
    <t>Chen, G; Ezraty, R</t>
  </si>
  <si>
    <t>Variation of Southern Ocean sea level and its possible relation with Antarctic sea ice</t>
  </si>
  <si>
    <t>GEOSAT ALTIMETER DATA; ALIASED TIDAL ERRORS; ROSSBY WAVES; VARIABILITY; BRAZIL; CIRCULATION; CONFLUENCE; ATLANTIC</t>
  </si>
  <si>
    <t>The variation of the Southern Ocean (SO) sea level and its possible relation with Antarctic sea ice are investigated. The dataset used results from a space-time objective analysis which merges one-year simultaneous ERS-1 and TOPEX/POSEIDON altimeter data. The main results are as follows, (1) The study confirms and complements previous ones in that the sea level variability in the SO is complex and bathymetrically controlled. The Antarctic Circumpolar Current is dominated by the annual component. For the western boundary currents, however, the semi-annual component is equally or more important. (2) A new result is obtained showing that, in the Brazil/Malvinas Confluence region, the locations of the annual and semi-annual energies are geographically separated, the maxima of which are comparable instead of being semiannual dominant. (3) A striking feature revealed by this study is that the annual cycles of sea level variations in the western boundary current zone (35 degrees-45 degrees S) and seasonal sea ice zone (60 degrees-70 degrees S) are nearly 180 degrees out of phase. This suggests that two contrary governing processes, speculated to be the solar cycle and sea ice cycle, co-exist in the SO. (4) It is argued that the variations of the SO sea level and Antarctic sea ice are strongly coupled through steric effect as well as insulating effect of the sea ice cover.</t>
  </si>
  <si>
    <t>Chinese Acad Sci, Inst Remote Sensing Applicat, Beijing 100101, Peoples R China</t>
  </si>
  <si>
    <t>Chen, G (corresponding author), Chinese Acad Sci, Inst Remote Sensing Applicat, POB 9718,Datun Rd, Beijing 100101, Peoples R China.</t>
  </si>
  <si>
    <t>JAN 10</t>
  </si>
  <si>
    <t>10.1080/014311699213587</t>
  </si>
  <si>
    <t>165RN</t>
  </si>
  <si>
    <t>WOS:000078535400004</t>
  </si>
  <si>
    <t>Tikku, AA; Cande, SC</t>
  </si>
  <si>
    <t>The oldest magnetic anomalies in the Australian-Antarctic Basin: Are they isochrons?</t>
  </si>
  <si>
    <t>EASTERN INDIAN-OCEAN; PLATE-TECTONICS; SEA-FLOOR; BREAKUP; CRUST; TASMANIA; RIDGES; MARGIN; GEOPHYSICS; EXTENSION</t>
  </si>
  <si>
    <t>We present a revised tectonic interpretation of Australia and Antarctica incorporating new magnetic data off of Wilkes Land, Antarctica, for the earliest period of seafloor spreading on the Southeast Indian Ridge, from the Late Cretaceous to Early Tertiary. Reconstructions based on our revised anomaly identifications are characterized by a surprisingly large amount of continental overlap, involving the South Tasman Rise, Tasmania, and the Victoria Land region of Antarctica. The overlap is due to continental extension and/or deformation of oceanic crust in the Australian-Antarctic Basin. The second hypothesis would imply that the magnetic anomalies older than chron 31 in the Australian-Antarctic Basin are not isochrons. We also fmd evidence for a previously unrecognized period of extremely slow spreading on the Southeast Indian Ridge from chron 31 (68.7 Ma) to chron 24 (53.3 Ma) in the Australian-Antarctic Basin. In the western end of the basin we have tentatively identified a hiatus in the generation of crustal accretion associated with a minimum sustainable threshold half spreading rate of 1.5 mm/yr. In addition, we recognize a new fracture zone on the Antarctic plate, the Vincennes fracture zone, as the conjugate to the Perth fracture zone on the Australian plate, in the western Australian-Antarctic Basin. These fracture zones record the initial NW-SE opening direction between Australia and Antarctica.</t>
  </si>
  <si>
    <t>Tikku, AA (corresponding author), Univ Calif San Diego, Scripps Inst Oceanog, La Jolla, CA 92093 USA.</t>
  </si>
  <si>
    <t>atikku@ucsd.edu; scande@ucsd.edu</t>
  </si>
  <si>
    <t>B1</t>
  </si>
  <si>
    <t>10.1029/1998JB900034</t>
  </si>
  <si>
    <t>159FV</t>
  </si>
  <si>
    <t>WOS:000078162100005</t>
  </si>
  <si>
    <t>Velonia, K; Tsigos, I; Bouriotis, V; Smonou, I</t>
  </si>
  <si>
    <t>Stereospecificity of hydrogen transfer by the NAD+-linked alcohol dehydrogenase from the Antarctic psychrophile Moraxella sp. TAE123.</t>
  </si>
  <si>
    <t>BIOORGANIC &amp; MEDICINAL CHEMISTRY LETTERS</t>
  </si>
  <si>
    <t>stereochemistry; stereospecificity; enzymes and enzyme reactions; coenzymes</t>
  </si>
  <si>
    <t>ENZYMES; ACTIVATION; ADAPTATION; KETONES</t>
  </si>
  <si>
    <t>Investigation of the stereochemistry of the hydride transfer in reactions catalyzed by the recently isolated NAD(+)-linked alcohol dehydrogenase from the Antarctic psychrophile Moraxella sp. TAE123 was accomplished by using H-1 NMR spectroscopy of the deuterated coenzyme. It was found that this new psychrophilic enzyme is a type A dehydrogenase. Moraxella sp. ADH reduces stereospecifically 2-butanone to produce (S)-2-butanol. (C) 1998 Elsevier Science Ltd. All rights reserved.</t>
  </si>
  <si>
    <t>Univ Crete, Dept Chem, GR-71409 Iraklion, Greece; Univ Crete, Dept Biol, Iraklion, Greece; Univ Crete, Inst Mol Biol &amp; Biotechnol, Enzyme Technol Div, Rethimnon, Crete, Greece</t>
  </si>
  <si>
    <t>University of Crete; University of Crete; University of Crete</t>
  </si>
  <si>
    <t>Univ Crete, Dept Chem, GR-71409 Iraklion, Greece.</t>
  </si>
  <si>
    <t>smonou@ikaros.edu.uch.gr</t>
  </si>
  <si>
    <t>Smonou, Ioulia/J-6592-2017; Velonia, Kelly/V-9166-2018; Smonou, Ioulia/B-1684-2012</t>
  </si>
  <si>
    <t>Smonou, Ioulia/0000-0002-5231-8737; Velonia, Kelly/0000-0003-3379-4508;</t>
  </si>
  <si>
    <t>0960-894X</t>
  </si>
  <si>
    <t>1464-3405</t>
  </si>
  <si>
    <t>BIOORG MED CHEM LETT</t>
  </si>
  <si>
    <t>Bioorg. Med. Chem. Lett.</t>
  </si>
  <si>
    <t>JAN 4</t>
  </si>
  <si>
    <t>10.1016/S0960-894X(98)00678-7</t>
  </si>
  <si>
    <t>Chemistry, Medicinal; Chemistry, Organic</t>
  </si>
  <si>
    <t>Pharmacology &amp; Pharmacy; Chemistry</t>
  </si>
  <si>
    <t>155KA</t>
  </si>
  <si>
    <t>WOS:000077944700013</t>
  </si>
  <si>
    <t>C</t>
  </si>
  <si>
    <t>Dubourg, V; Nouel, F; Durand, M</t>
  </si>
  <si>
    <t>KaldeichSchurmann, B</t>
  </si>
  <si>
    <t>Pressurized balloon systems: Results of Ecuador 1998 and THESEO 1999 campaigns</t>
  </si>
  <si>
    <t>14TH ESA SYMPOSIUM ON EUROPEAN ROCKET AND BALLOON PROGRAMMES AND RELATED RESEARCH</t>
  </si>
  <si>
    <t>ESA SPECIAL PUBLICATIONS</t>
  </si>
  <si>
    <t>Proceedings Paper</t>
  </si>
  <si>
    <t>14th ESA Symposium on European Rocket and Balloon Programmes and Related Research</t>
  </si>
  <si>
    <t>MAY 31-JUN 03, 1999</t>
  </si>
  <si>
    <t>POTSDAM, GERMANY</t>
  </si>
  <si>
    <t>Since 1996, CNES has been developing a stratospheric observation system based on the use of long-lived (1 month) isopycnic drifting balloons able to fly at constant density levels from is to 20 km, carrying about 20 kg at hook. This pressurized balloon (BP) system will be used for the in situ study of the dynamics of the stratosphere and its interaction with ozone chemistry. In that field of investigation, scientific projects such as LAGRANGIAN EXPERIMENT in the Arctic (Kiruna, January 1999) and VORCORE (Mac Murdo) in the Antarctic have been proposed to CNES. A project team at CNES Balloons Division in Toulouse has partly validated a complete aerostat (balloon, gondola and flight train) during a long duration flights Campaign in Ecuador in August / September of 1998, during which 3 balloons lasted from 21 to 47 days. Data reception, storage and processing is made by an up-to-date ground section, using Argos Automatic Delivery System (ADS) and numerical trajectory mapping, available on the CNES web site. For Theseo 99, 3 technological flights were on schedule: each balloon was basically instrumented with pressure, temperature, 3D position (GPS) sensors, and the CNES gondola hosted additional scientific payloads that performed chemistry and radiation measurements. Aerostat preparation and balloon inflation were done inside a high building at Kiruna airport. Yet, the BP did not last more than 24 hours; the reasons of the failure are in process of analysis. The fact remains that the gondolas worked well and the same concept will be used for SOLVE 2000.</t>
  </si>
  <si>
    <t>CNES, Balloons Div, F-31401 Toulouse 4, France</t>
  </si>
  <si>
    <t>Dubourg, V (corresponding author), CNES, Balloons Div, 18 Ave E Belin, F-31401 Toulouse 4, France.</t>
  </si>
  <si>
    <t>EUROPEAN SPACE AGENCY</t>
  </si>
  <si>
    <t>PARIS</t>
  </si>
  <si>
    <t>8-10 RUE MARIO NIKIS, 75738 PARIS, FRANCE</t>
  </si>
  <si>
    <t>0379-6566</t>
  </si>
  <si>
    <t>92-9092-748-8</t>
  </si>
  <si>
    <t>ESA SP PUBL</t>
  </si>
  <si>
    <t>Engineering, Aerospace; Astronomy &amp; Astrophysics; Geochemistry &amp; Geophysics; Meteorology &amp; Atmospheric Sciences</t>
  </si>
  <si>
    <t>Conference Proceedings Citation Index - Science (CPCI-S)</t>
  </si>
  <si>
    <t>Engineering; Astronomy &amp; Astrophysics; Geochemistry &amp; Geophysics; Meteorology &amp; Atmospheric Sciences</t>
  </si>
  <si>
    <t>BP31E</t>
  </si>
  <si>
    <t>WOS:000084659100013</t>
  </si>
  <si>
    <t>Honda, H; Yajima, N; Yamagami, T; Izutsu, N; Aoki, S; Hashida, G; Machida, T; Morimoto, S; Okano, S; Yamanouchi, T; Nakazawa, T</t>
  </si>
  <si>
    <t>Stratospheric air sampling experiment at Syowa Station, Antarctica</t>
  </si>
  <si>
    <t>cryogenic air sampling; balloon; payload recovery; network; Antarctica</t>
  </si>
  <si>
    <t>A stratospheric and cryogenic air sampling experiment at Japanese Antarctic base, Syowa Station (69S, 40E), was successfully carried out using a scientific balloon of 34,000 m(3) on January 3, 1998. The collected air samples were analyzed for their minor constituents, and the results were compared with those over Sanriku (39N, 142E), Japan, and those over Kiruna (68N, 21E), Sweden, collected in 1997. It is first described that feasibility was studied on the balloon experiment with payload recovery at Syowa Station. The balloon operations were done with no ballooning specialist at the station. For smooth and reliable operations the ballooning facilities, such as a telemetry and telecommand system, a gas inflation system, a launching vehicle, and a rigging system were all designed simple and handy to set up in a short time and to operate easily and reliably. A computer network between Syowa Station and National Institute of Polar Research (NIPR), Tokyo, via INMARSAT was utilized to transfer telemetry data in realtime.</t>
  </si>
  <si>
    <t>Inst Space &amp; Astronaut Sci, Sagamihara, Kanagawa 2298510, Japan</t>
  </si>
  <si>
    <t>Japan Aerospace Exploration Agency (JAXA); Institute of Space &amp; Astronautical Science (ISAS)</t>
  </si>
  <si>
    <t>Honda, H (corresponding author), Inst Space &amp; Astronaut Sci, Sagamihara, Kanagawa 2298510, Japan.</t>
  </si>
  <si>
    <t>Morimoto, Shinji/GQR-1817-2022</t>
  </si>
  <si>
    <t>WOS:000084659100022</t>
  </si>
  <si>
    <t>Silverberg, RF</t>
  </si>
  <si>
    <t>MSAM TopHat Collaboration</t>
  </si>
  <si>
    <t>The topHat Cosmic Microwave Background anisotropy experiment</t>
  </si>
  <si>
    <t>cosmology; Cosmic Microwave Background; ballooning; large scale structure</t>
  </si>
  <si>
    <t>MEDIUM-SCALE ANISOTROPY</t>
  </si>
  <si>
    <t>We have developed a balloon-borne experiment to measure the Cosmic Microwave Background Radiation anisotropy on angular scales from similar to 50 degrees down to similar to 20'. The instrument observes at frequencies between 150 and 690 GHz and will be flown on an Antarctic circumpolar long duration flight. To greatly improve the experiment performance, the front-end of the experiment is mounted on the tap of the balloon. With high sensitivity, broad sky coverage, and well-characterized systematic errors, the results of this experiment can be used to strongly constrain cosmological models and probe the early stages of large-scale structure formation in the Universe.</t>
  </si>
  <si>
    <t>NASA, Goddard Space Flight Ctr, Astron &amp; Solar Phys Lab, Greenbelt, MD 20771 USA</t>
  </si>
  <si>
    <t>Silverberg, RF (corresponding author), NASA, Goddard Space Flight Ctr, Astron &amp; Solar Phys Lab, Greenbelt, MD 20771 USA.</t>
  </si>
  <si>
    <t>WOS:000084659100089</t>
  </si>
  <si>
    <t>Fukazawa, H; Mae, S; Ikeda, S</t>
  </si>
  <si>
    <t>Fukazawa, Hiroshi; Mae, Shinji; Ikeda, Susumu</t>
  </si>
  <si>
    <t>ICE TEMPERATURE EFFECT ON PROTON-ORDERED ARRANGEMENT IN ANTARCTIC ICE</t>
  </si>
  <si>
    <t>ACTA CRYSTALLOGRAPHICA A-FOUNDATION AND ADVANCES</t>
  </si>
  <si>
    <t>[Fukazawa, Hiroshi; Mae, Shinji] Hokkaido Univ, Dept Appl Phys, Fac Engn, Sapporo, Hokkaido 0608628, Japan; [Ikeda, Susumu] High Energy Accelerator Res Org KEK, Inst Mat Struct Sci, Tsukuba, Ibaraki 305, Japan</t>
  </si>
  <si>
    <t>Hokkaido University; High Energy Accelerator Research Organization (KEK)</t>
  </si>
  <si>
    <t>INT UNION CRYSTALLOGRAPHY</t>
  </si>
  <si>
    <t>CHESTER</t>
  </si>
  <si>
    <t>2 ABBEY SQ, CHESTER, CH1 2HU, ENGLAND</t>
  </si>
  <si>
    <t>2053-2733</t>
  </si>
  <si>
    <t>ACTA CRYSTALLOGR A</t>
  </si>
  <si>
    <t>Acta Crystallogr. Sect. A</t>
  </si>
  <si>
    <t>P05.09.002</t>
  </si>
  <si>
    <t>Chemistry, Multidisciplinary; Crystallography</t>
  </si>
  <si>
    <t>Chemistry; Crystallography</t>
  </si>
  <si>
    <t>VI3RJ</t>
  </si>
  <si>
    <t>WOS:000475706304159</t>
  </si>
  <si>
    <t>Warner, RC; Jacka, TH; Jun, L; Budd, WF</t>
  </si>
  <si>
    <t>Hutter, K; Wang, Y; Beer, H</t>
  </si>
  <si>
    <t>Tertiary flow relations for compression and shear components in combined stress tests on ice</t>
  </si>
  <si>
    <t>ADVANCES IN COLD-REGION THERMAL ENGINEERING AND SCIENCES: TECHNOLOGICAL, ENVIRONMENTAL, AND CLIMATOLOGICAL IMPACT</t>
  </si>
  <si>
    <t>Lecture Notes in Physics</t>
  </si>
  <si>
    <t>6th International Symposium on Thermal Engineering and Sciences for Cold Regions</t>
  </si>
  <si>
    <t>AUG 22-25, 1999</t>
  </si>
  <si>
    <t>DARMSTADT UNIV TECHNOL, DARMSTADT, GERMANY</t>
  </si>
  <si>
    <t>DARMSTADT UNIV TECHNOL</t>
  </si>
  <si>
    <t>STRAIN-RATE; CREEP</t>
  </si>
  <si>
    <t>The attainment of tertiary flow in ice involves the nonlinear response to the combination of applied stresses and the alteration of both the ice crystals and the polycrystalline aggregate. Tertiary flow rates for individual component strain rates from a series of ice deformation experiments under combined shear and compression stresses are presented, and the departure from the predictions of isotropic flow relations is quantified. A simple generalisation of the flow relations is suggested.</t>
  </si>
  <si>
    <t>Antarctic CRC, Hobart, Tas 7001, Australia</t>
  </si>
  <si>
    <t>Antarctic CRC, Box 252-80, Hobart, Tas 7001, Australia.</t>
  </si>
  <si>
    <t>Warner, Robert R./M-5342-2013; Warner, Roland Charles/ISS-2485-2023</t>
  </si>
  <si>
    <t>Warner, Roland Charles/0000-0002-9778-3544</t>
  </si>
  <si>
    <t>SPRINGER-VERLAG BERLIN</t>
  </si>
  <si>
    <t>HEIDELBERGER PLATZ 3, D-14197 BERLIN, GERMANY</t>
  </si>
  <si>
    <t>0075-8450</t>
  </si>
  <si>
    <t>1616-6361</t>
  </si>
  <si>
    <t>3-540-66333-9</t>
  </si>
  <si>
    <t>LECT NOTES PHYS</t>
  </si>
  <si>
    <t>Engineering, Mechanical; Physics, Multidisciplinary</t>
  </si>
  <si>
    <t>Engineering; Physics</t>
  </si>
  <si>
    <t>BQ13R</t>
  </si>
  <si>
    <t>WOS:000087263600022</t>
  </si>
  <si>
    <t>Mügge, B; Savvin, A; Calov, R; Greve, R</t>
  </si>
  <si>
    <t>Numerical age computation of the Antarctic ice sheet for dating deep ice cores</t>
  </si>
  <si>
    <t>The application of two different methods for the computation of the age of ice is discussed within the frame of numerical ice sheet modelling. The first method solves the purely advective equation for the age field in the Eulerian frame, which requires the addition of a numerical diffusion term to stabilize the solution and therefore produces arbitrary results in a near-basal boundary layer. The second method makes more efficient use of the simplicity of the equation in the Lagrangian frame by tracing particle paths in the flowing ice body, and it does without artificial diffusion. We compute the age field for the Antarctic ice sheet with both methods for a time-dependent simulation driven by a 242200 year surface temperature history derived from stable isotope data of the Vostok deep ice core, and discuss the differences of the age computation schemes. Emphasis is put on two regions: (i) western Dronning Maud Land (DML), where reconnaissance for a deep ice core within the European Project for Ice Goring in Antarctica (EPICA) is currently carried out, and (ii) the eastern part of central East Antarctica with the deep-ice-core locations Vostok and Dome C (the former completed, the latter currently drilled within EPICA). The Eulerian scheme provides good results except for the lower parts of the ice sheet where the numerical diffusion falsifies the computed ages. The particle-tracing scheme does not show this shortcoming; however, it yields ages generally somewhat too small because it does not pet account for the time-dependence of the ice flow.</t>
  </si>
  <si>
    <t>Tech Univ Darmstadt, Inst Mech 3, D-64289 Darmstadt, Germany</t>
  </si>
  <si>
    <t>Technical University of Darmstadt</t>
  </si>
  <si>
    <t>Tech Univ Darmstadt, Inst Mech 3, Hsch Str 1, D-64289 Darmstadt, Germany.</t>
  </si>
  <si>
    <t>Greve, Ralf/G-2336-2010</t>
  </si>
  <si>
    <t>WOS:000087263600025</t>
  </si>
  <si>
    <t>Doyle, P; Pirrie, D</t>
  </si>
  <si>
    <t>Oloriz, F; RodriguezTovar, FJ</t>
  </si>
  <si>
    <t>Belemnite distribution patterns - Implications of new data from Argentina</t>
  </si>
  <si>
    <t>ADVANCING RESEARCH ON LIVING AND FOSSIL CEPHALOPODS: DEVELOPMENT AND EVOLUTION, FORM, CONSTRUCTION, AND FUNCTION, TAPHONOMY, PALAEOECOLOGY, PALAEOBIOGEOGRAPHY, BIOSTRATIGRAPHY, AND BASIN ANALYSIS</t>
  </si>
  <si>
    <t>IVth International Symposium on Cephalopods - Present and Past</t>
  </si>
  <si>
    <t>JUL 14-18, 1996</t>
  </si>
  <si>
    <t>GRANADA, SPAIN</t>
  </si>
  <si>
    <t>JAMES-ROSS-ISLAND; CRETACEOUS BELEMNITES; ANTARCTICA; BIOGEOGRAPHY; CLIMATES</t>
  </si>
  <si>
    <t>Belemnites are nekto-pelagic cephalopods which developed a widespread pattern of distribution in the Jurassic, and most authors have accepted that their centre of origin was Europe. Available data suggest that the belemnites developed a global distribution only in the Toarcian, some 15 Ma after their first appearance in the European Hettangian. Development of the Boreal and Tethyan belemnite realms took place in the Mid-Jurassic and continued through to the Cretaceous. New data from Argentina reaffirms the development of global distribution of belemnites in the Toarcian, and sheds new light on biogeographical patterns for the later Jurassic and Cretaceous of the Southern Hemisphere. Oxygen-isotope palaeotemperatures obtained from belemnite skeletal carbonates from the Antarctic Peninsula indicate that there was a significant cooling in the Valanginian to Aptian time periods. This appears to correlate with the development of an Austral Realm; but it does not explain the absence of the Austral Realm in the Jurassic. Future work on the palaeotemperatures from Argentine belemnites may help confirm this relationship. This has considerable implications for understanding the development of marine faunal realms in the Mesozoic.</t>
  </si>
  <si>
    <t>Univ Greenwich, Sch Earth &amp; Environm Sci, Chatham Maritime ME4 4AW, Kent, England</t>
  </si>
  <si>
    <t>University of Greenwich</t>
  </si>
  <si>
    <t>Doyle, P (corresponding author), Univ Greenwich, Sch Earth &amp; Environm Sci, Medway Campus, Chatham Maritime ME4 4AW, Kent, England.</t>
  </si>
  <si>
    <t>KLUWER ACADEMIC/PLENUM PUBL</t>
  </si>
  <si>
    <t>0-306-45938-8</t>
  </si>
  <si>
    <t>Marine &amp; Freshwater Biology; Paleontology</t>
  </si>
  <si>
    <t>BP44G</t>
  </si>
  <si>
    <t>WOS:000085157900029</t>
  </si>
  <si>
    <t>Bromage, TG; Schrenk, F</t>
  </si>
  <si>
    <t>Searching for an interdisciplinary convergence in paleoanthropology</t>
  </si>
  <si>
    <t>AFRICAN BIOGEOGRAPHY, CLIMATE CHANGE &amp; HUMAN EVOLUTION</t>
  </si>
  <si>
    <t>HUMAN EVOLUTION SERIES</t>
  </si>
  <si>
    <t>119th International Symposium of the Wenner-Gren Foundation</t>
  </si>
  <si>
    <t>OCT 25-NOV 04, 1995</t>
  </si>
  <si>
    <t>SALIMA, MALAWI</t>
  </si>
  <si>
    <t>NORTH-ATLANTIC OCEAN; ANTARCTIC ICE-SHEET; RELATIVE BRAIN SIZE; LOWER OMO VALLEY; KUDU TRAGELAPHUS-STREPSICEROS; SCANNING-ELECTRON-MICROSCOPE; ATMOSPHERIC CARBON-DIOXIDE; EARLY PLEISTOCENE HOMINIDS; MESSINIAN SALINITY CRISIS; SEA-SURFACE TEMPERATURES</t>
  </si>
  <si>
    <t>CUNY Hunter Coll, Dept Anthropol, New York, NY 10021 USA</t>
  </si>
  <si>
    <t>City University of New York (CUNY) System; Hunter College (CUNY)</t>
  </si>
  <si>
    <t>198 MADISON AVENUE, NEW YORK, NY 10016 USA</t>
  </si>
  <si>
    <t>0-19-511437-X</t>
  </si>
  <si>
    <t>HUMAN EVOLUT SER</t>
  </si>
  <si>
    <t>Anthropology</t>
  </si>
  <si>
    <t>Conference Proceedings Citation Index - Social Science &amp; Humanities (CPCI-SSH)</t>
  </si>
  <si>
    <t>BQ27T</t>
  </si>
  <si>
    <t>WOS:000087779100001</t>
  </si>
  <si>
    <t>Césari, S; Parica, C; Remesal, M; Salani, F</t>
  </si>
  <si>
    <t>Lower cretaceous flora from Byers Peninsula, South Shetland Islands, Antarctica.</t>
  </si>
  <si>
    <t>AMEGHINIANA</t>
  </si>
  <si>
    <t>Spanish</t>
  </si>
  <si>
    <t>Antarctica; Byers Peninsula; cerro negro formation; cretaceous; paleofloras; systematics</t>
  </si>
  <si>
    <t>LIVINGSTON ISLAND; STRATIGRAPHY; POINT; FERNS</t>
  </si>
  <si>
    <t>New paleofloristic findings on Byers Peninsula, Shetland Islands, Antarctica, expand our knowledge about Mesozoic floras from that continent. Twenty-seven taxa of hepatophytes, equisetaleans, ferns, pteridosperms, bennettitaleans, pentoxylaleans and conifers are described. The first occurrence of hepatophytes, equisetaleans, and fertile leptosporangiate ferns in the palaeoflora is documented. The flora is an important reference assemblage, because it is radiometrically dated as early Aptian. Stratigraphical correlation with the northern Antarctic Peninsula and southernmost South America, as well as comparisons with similar floras and palynological data are discussed.</t>
  </si>
  <si>
    <t>Fac Ciencias Exactas &amp; Nat, CONICET, Dept Geol, RA-1428 Buenos Aires, DF, Argentina; Inst Antartico Argentino, RA-1010 Buenos Aires, DF, Argentina</t>
  </si>
  <si>
    <t>Consejo Nacional de Investigaciones Cientificas y Tecnicas (CONICET); Instituto Antartico Argentino</t>
  </si>
  <si>
    <t>Césari, S (corresponding author), Fac Ciencias Exactas &amp; Nat, CONICET, Dept Geol, Ciudad Univ, RA-1428 Buenos Aires, DF, Argentina.</t>
  </si>
  <si>
    <t>Cesari, Silvia/0000-0001-7311-1156</t>
  </si>
  <si>
    <t>ASOCIACION PALEONTOLOGICA ARGENTINA</t>
  </si>
  <si>
    <t>MAIPU 645, 1ER PISO, 1006 BUENOS AIRES, ARGENTINA</t>
  </si>
  <si>
    <t>0002-7014</t>
  </si>
  <si>
    <t>Ameghiniana</t>
  </si>
  <si>
    <t>231WH</t>
  </si>
  <si>
    <t>WOS:000082334100002</t>
  </si>
  <si>
    <t>Baker, BJ; McClintock, JB; Amsler, CD</t>
  </si>
  <si>
    <t>The chemical ecology of antarctic marine organisms.</t>
  </si>
  <si>
    <t>AMERICAN ZOOLOGIST</t>
  </si>
  <si>
    <t>Florida Inst Technol, Melbourne, FL 32901 USA; Univ Alabama, Birmingham, AL USA</t>
  </si>
  <si>
    <t>Florida Institute of Technology; University of Alabama System; University of Alabama Birmingham</t>
  </si>
  <si>
    <t>Baker, Bill/N-4312-2019</t>
  </si>
  <si>
    <t>SOC INTEGRATIVE COMPARATIVE BIOLOGY</t>
  </si>
  <si>
    <t>MCLEAN</t>
  </si>
  <si>
    <t>1313 DOLLEY MADISON BLVD, NO 402, MCLEAN, VA 22101 USA</t>
  </si>
  <si>
    <t>0003-1569</t>
  </si>
  <si>
    <t>AM ZOOL</t>
  </si>
  <si>
    <t>Am. Zool.</t>
  </si>
  <si>
    <t>2A</t>
  </si>
  <si>
    <t>292NE</t>
  </si>
  <si>
    <t>WOS:000085800400005</t>
  </si>
  <si>
    <t>Bosch, I; Karentz, D</t>
  </si>
  <si>
    <t>Influence of ultraviolet light on antarctic marine organisms.</t>
  </si>
  <si>
    <t>Univ San Francisco, San Francisco, CA 94117 USA; SUNY Coll Geneseo, Geneseo, NY 14454 USA</t>
  </si>
  <si>
    <t>University of San Francisco; State University of New York (SUNY) System; SUNY Geneseo</t>
  </si>
  <si>
    <t>WOS:000085800400004</t>
  </si>
  <si>
    <t>Marinelli, RL; Penhale, PA</t>
  </si>
  <si>
    <t>The role of NSF in facilitation of antarctic marine biology, ecology and oceanography.</t>
  </si>
  <si>
    <t>Natl Sci Fdn, Antarctic Biol &amp; Med Program, Washington, DC 20550 USA</t>
  </si>
  <si>
    <t>National Science Foundation (NSF)</t>
  </si>
  <si>
    <t>WOS:000085800400002</t>
  </si>
  <si>
    <t>Smith, RC</t>
  </si>
  <si>
    <t>The Palmer LTER: Long-term ecological research on the antarctic marine ecosystem.</t>
  </si>
  <si>
    <t>Univ Calif Santa Barbara, Santa Barbara, CA 93106 USA</t>
  </si>
  <si>
    <t>3A</t>
  </si>
  <si>
    <t>WOS:000085800400007</t>
  </si>
  <si>
    <t>Detrich, HW</t>
  </si>
  <si>
    <t>Adaptive evolution of gene expression in antarctic fishes.</t>
  </si>
  <si>
    <t>Northeastern Univ, Boston, MA 02115 USA</t>
  </si>
  <si>
    <t>Northeastern University</t>
  </si>
  <si>
    <t>WOS:000085800400012</t>
  </si>
  <si>
    <t>Devries, AL</t>
  </si>
  <si>
    <t>Antarctic fishes are frozen, but are alive and well!</t>
  </si>
  <si>
    <t>Univ Illinois, Urbana, IL 61801 USA</t>
  </si>
  <si>
    <t>University of Illinois System; University of Illinois Urbana-Champaign</t>
  </si>
  <si>
    <t>WOS:000085800400013</t>
  </si>
  <si>
    <t>Dunton, KD</t>
  </si>
  <si>
    <t>Food web structure on the antarctic peninsula:: del13C analysis.</t>
  </si>
  <si>
    <t>Univ Texas Austin, Port Aransas, TX USA</t>
  </si>
  <si>
    <t>WOS:000085800400011</t>
  </si>
  <si>
    <t>Lizotte, MP</t>
  </si>
  <si>
    <t>Biogeochemical contributions of sea ice algae to antarctic marine ecosystems.</t>
  </si>
  <si>
    <t>Univ Wisconsin, Oshkosh, WI 54901 USA</t>
  </si>
  <si>
    <t>University of Wisconsin System</t>
  </si>
  <si>
    <t>WOS:000085800400008</t>
  </si>
  <si>
    <t>Ross, RM; Quetin, LB</t>
  </si>
  <si>
    <t>Environmental variability and its impact on the reproductive cycle of antarctic krill, Euphausia superba.</t>
  </si>
  <si>
    <t>WOS:000085800400009</t>
  </si>
  <si>
    <t>Henderson, MJ; Krakowski, D; Karentz, D; Bosch, I</t>
  </si>
  <si>
    <t>Sub-lethal effects of exposure to UV-radiation on the development of blastulas and gastrulas of the antarctic sea urchin Sterechinus neumayeri.</t>
  </si>
  <si>
    <t>SUNY Coll Geneseo, Geneseo, NY 14454 USA; Univ San Francisco, San Francisco, CA 94117 USA</t>
  </si>
  <si>
    <t>State University of New York (SUNY) System; SUNY Geneseo; University of San Francisco</t>
  </si>
  <si>
    <t>77A</t>
  </si>
  <si>
    <t>WOS:000085800400456</t>
  </si>
  <si>
    <t>Iken, K; Avila, C; Fontana, A; Cimino, G</t>
  </si>
  <si>
    <t>Chemical ecology of antarctic opisthobranchs.</t>
  </si>
  <si>
    <t>Univ Alabama, Birmingham, AL USA; CNR, Ist Chim Mol Interesse Biol, Naples, Italy</t>
  </si>
  <si>
    <t>University of Alabama System; University of Alabama Birmingham; Consiglio Nazionale delle Ricerche (CNR)</t>
  </si>
  <si>
    <t>Avila, Conxita/B-9466-2008; Fontana, Angelo/AAO-2741-2021; Fontana, Angelo/C-3354-2012</t>
  </si>
  <si>
    <t>Avila, Conxita/0000-0002-5489-8376; Fontana, Angelo/0000-0002-5453-461X;</t>
  </si>
  <si>
    <t>119A</t>
  </si>
  <si>
    <t>WOS:000085800400709</t>
  </si>
  <si>
    <t>Garton, DW; Berkman, PA</t>
  </si>
  <si>
    <t>Metabolic responses to stress in the antarctic scallop</t>
  </si>
  <si>
    <t>Ga Inst Tech, Atlanta, GA 30332 USA; Ohio State Univ, Columbus, OH 43210 USA</t>
  </si>
  <si>
    <t>david.garton@biology.gatech.edu</t>
  </si>
  <si>
    <t>451A</t>
  </si>
  <si>
    <t>136A</t>
  </si>
  <si>
    <t>WOS:000085800400763</t>
  </si>
  <si>
    <t>Ochyra, R</t>
  </si>
  <si>
    <t>Antipodal mosses:: IX.: Platydictya (Bryopsida, Hypnaceae)</t>
  </si>
  <si>
    <t>ANNALES BOTANICI FENNICI</t>
  </si>
  <si>
    <t>Amblystegiaceae; Antarctica; bryophytes; distribution; Hypnaceae; Musci; nomenclature; Platydictya; Tierra del Fuego; South Georgia; taxonomy</t>
  </si>
  <si>
    <t>A taxonomic and nomenclatural history of Platydictya Berk. is outlined and the genus is considered to be a member of the Hypnaceae. Platydictya densissima (Card.) Robins., a species originally described from the Antarctic as Amblystegium densissimum Card. and considered to be endemic to this region, is briefly evaluated. It is shown that this species is identical to the holarctic P. jungermannioides (Brid.) Crum which is now established as a bipolar disjunct and is the only representative of the genus Platydictya in the Southern Hemisphere. Platydictya jungermannioides is very rare in Tierra del Fuego and on South Georgia, whereas in the maritime Antarctic it is locally frequent, extending from the South Orkney Islands to Alexander Island. The austral plants of P. jungermannioides are described and illustrated and the regional and global distributions of the species are mapped. The ecological requirements of the species in Antarctica are also described.</t>
  </si>
  <si>
    <t>Polish Acad Sci, Inst Bot, Lab Bryol, PL-31512 Krakow, Poland</t>
  </si>
  <si>
    <t>Ochyra, R (corresponding author), Polish Acad Sci, Inst Bot, Lab Bryol, Ul Lubicz 46, PL-31512 Krakow, Poland.</t>
  </si>
  <si>
    <t>Ochyra, Ryszard/0000-0002-2541-0722</t>
  </si>
  <si>
    <t>FINNISH ZOOLOGICAL BOTANICAL PUBLISHING BOARD</t>
  </si>
  <si>
    <t>HELSINKI</t>
  </si>
  <si>
    <t>UNIV HELSINKI P O BOX 17 (P. RAUTATIEKATU 13), FIN-00014 HELSINKI, FINLAND</t>
  </si>
  <si>
    <t>0003-3847</t>
  </si>
  <si>
    <t>ANN BOT FENN</t>
  </si>
  <si>
    <t>Ann. Bot. Fenn.</t>
  </si>
  <si>
    <t>192CD</t>
  </si>
  <si>
    <t>WOS:000080059900007</t>
  </si>
  <si>
    <t>Hindmarsh, RCA</t>
  </si>
  <si>
    <t>Kleman, J</t>
  </si>
  <si>
    <t>Coupled ice-till dynamics and the seeding of drumlins and bedrock forms</t>
  </si>
  <si>
    <t>ANNALS OF GLACIOLOGY</t>
  </si>
  <si>
    <t>International Symposium on Glaciers and the Glaciated Landscape</t>
  </si>
  <si>
    <t>AUG 17-20, 1998</t>
  </si>
  <si>
    <t>KIRUNA, SWEDEN</t>
  </si>
  <si>
    <t>SUBGLACIAL WATER; STREAM-B; DEFORMATION; FLOW; BED; GLACIERS; LANDFORMS; MECHANISM; MOTION</t>
  </si>
  <si>
    <t>The geomorphological effects of ice sliding over till, internal deformation of till and till sliding over bedrock are considered. Two questions are examined: (I) is the till-sheet flow unstable, i.e. is a layer of uniform thickness maintained or not, and (2) does the slip of till over bedrock cause amplification of relief of the bedrock? Such instabilities seem to be necessary to explain such features as drumlins and whaleback forms. It is found that the answer to (1) and (2) depends on the position of the system in a parameter space, defined by the till rheology, and applied shear stress, the effective pressure at the ice-till interface, the thickness of ice and till and the wavelength of the instability. Two configurations are considered: one where the wavelength of the perturbation is much less than the the ice-thickness, which is related to the classical Nye-Kamb solution for flow over bumps; and one where the wavelength is much greater than the ice thickness, where the mechanics are described by the shallow-ice approximation. In both cases, substantial areas of parameter space, where till-sheet and bedrock modes are unstable, are found. The conceptually related Smalley-Unwin bifurcation is re-examined. The physical mechanisms by which ice and till flows couple are examined. At very short wavelengths (similar to 10 m), the ice is so rigid that it forces till waves to move at the ice velocity; while at long wavelengths (similar to 1000 m), the flows become essentially uncoupled and till waves move at the kinematic velocity At intermediate wavelengths (similar to 100 m), high growth rates occur; this is postulated to be the scale of drumlin seeding.</t>
  </si>
  <si>
    <t>Hindmarsh, RCA (corresponding author), British Antarctic Survey, NERC, High Cross,Madingley Rd, Cambridge CB3 0ET, England.</t>
  </si>
  <si>
    <t>Hindmarsh, Richard/C-1405-2012</t>
  </si>
  <si>
    <t>Hindmarsh, Richard/0000-0003-1633-2416</t>
  </si>
  <si>
    <t>INT GLACIOLOGICAL SOC</t>
  </si>
  <si>
    <t>LENSFIELD RD, CAMBRIDGE, ENGLAND CB2 1ER</t>
  </si>
  <si>
    <t>0260-3055</t>
  </si>
  <si>
    <t>0-946417-23-7</t>
  </si>
  <si>
    <t>ANN GLACIOL</t>
  </si>
  <si>
    <t>10.3189/172756499781821931</t>
  </si>
  <si>
    <t>Geochemistry &amp; Geophysics; Geography; Geology; Geosciences, Multidisciplinary</t>
  </si>
  <si>
    <t>Geochemistry &amp; Geophysics; Geography; Geology</t>
  </si>
  <si>
    <t>BP17L</t>
  </si>
  <si>
    <t>WOS:000084312000033</t>
  </si>
  <si>
    <t>Lorrain, RD; Fitzsimons, SJ; Vandergoes, MJ; Stiévenard, M</t>
  </si>
  <si>
    <t>Ice composition evidence for the formation of basal ice from lake water beneath a cold-based Antarctic glacier</t>
  </si>
  <si>
    <t>ISOTOPIC COMPOSITION; AIR CONTENT; POLAR ICE; CORE; PARAMETERS; GREENLAND; RECORD; CO2</t>
  </si>
  <si>
    <t>Entrainment of debris by cold-based glaciers having basal temperatures as low as - 17 degrees C can be observed in the DryValleys of south Victoria Land, Antarctica. The classical models developed to explain debris incorporation at the glacier base are inappropriate in such cases, since the basal temperature is well below the freezing point. An alternative model, based on the presence of ice-marginal lakes, has recently been proposed by one of the authors (S.F.). In this model, transient wet-base conditions can occur as ice flows onto the unfrozen sediments of the lake bottom, creating conditions favorable to the entrainment of sediments and to ice accretion by water freezing. Here we describe a situation where this model is consistent with an ice-composition study of the basal part of Suess Glacier, Taylor Valley. The stable isotope composition indicates that water freezing, most probably lake water, plays a major role in the formation of the basal ice layers. Total gas content of this basal ice is considerably depleted when compared to meteoric glacier ice, in accordance with a rejection mechanism during freezing. Its gas composition, strongly enriched in CO2, is also indicative of the presence of a former liquid phase.</t>
  </si>
  <si>
    <t>Free Univ Brussels, Dept Sci Terre &amp; Environm, B-1050 Brussels, Belgium; Univ Otago, Dept Geog, Dunedin, New Zealand; CENS, CEA, CNRS, Lab Sci Climat &amp; Environm,Lab Mixte, F-91191 Gif Sur Yvette, France</t>
  </si>
  <si>
    <t>Universite Libre de Bruxelles; University of Otago; Universite Paris Saclay; CEA; Centre National de la Recherche Scientifique (CNRS)</t>
  </si>
  <si>
    <t>Lorrain, RD (corresponding author), Free Univ Brussels, Dept Sci Terre &amp; Environm, B-1050 Brussels, Belgium.</t>
  </si>
  <si>
    <t>10.3189/172756499781822011</t>
  </si>
  <si>
    <t>WOS:000084312000042</t>
  </si>
  <si>
    <t>Greve, R; Wyrwoll, KH; Eisenhauer, A</t>
  </si>
  <si>
    <t>Deglaciation of the Northern Hemisphere at the onset of the Eemian and Holocene</t>
  </si>
  <si>
    <t>ANNALS OF GLACIOLOGY, VOL 28</t>
  </si>
  <si>
    <t>Annals of Glaciology-Series</t>
  </si>
  <si>
    <t>LAST INTERGLACIAL PERIOD; GREENLAND ICE-SHEET; SEA-LEVEL; MASS-SPECTROMETRY; ABROLHOS ISLANDS; WESTERN-AUSTRALIA; STEADY-STATE; CORE RECORD; TH-230 AGES; CORALS</t>
  </si>
  <si>
    <t>High resolution (TIMS) U-series dating of sea-level events obtained from coral-reef complexes suggests that global deglaciation from the Saale (penultimate) glacial to the Eem Interglacial (marine delta(18)O stages 6/5) may have occurred earlier in relation to Milankovitch insolation forcing than that from the Wisconsinan glacial to the Holocene Interglacial (marine delta(18)O stages 2/1). However, the interpretation of these data has been problematic because of the possibility of isotope exchange. In order to investigate whether these different lead-lag relations between Milankovitch forcing and ice volume are feasible from the point of view of large-scale ice-sheet dynamics and thermodynamics, the three-dimensional polythermal ice-sheet model SICOPOLIS (Simulation Code for Polythermal Ice Sheets) is applied to the entire Northern Hemisphere (which gives the major contribution to global ice-volume changes due to the relative stability of the Antarctic ice sheet) and simulations through the last two climatic cycles are conducted. The simulations cover the interval from 250 kyr sp until today and are driven by surface-temperature reconstructions of deep ice cores (GRIP, Vostok) and simple parameterizations for the change of precipitation with time. Discussion of the results is focused on the Saale/Eem and the Wisconsinan/Holocene transitions. The amount and rate of deglaciation are in good agreement with the SPECMAP record for both cases, and the evidence of the data for an early start of the Eem Interglacial is supported.</t>
  </si>
  <si>
    <t>Tech Univ Darmstadt, Inst Mech 3, D-64289 Darmstadt, Germany; Univ Western Australia, Dept Geog, Perth, WA 6907, Australia; Univ Gottingen, Inst Geochem, D-37077 Gottingen, Germany</t>
  </si>
  <si>
    <t>Technical University of Darmstadt; University of Western Australia; University of Gottingen</t>
  </si>
  <si>
    <t>Tech Univ Darmstadt, Inst Mech 3, Hochschulstr 1, D-64289 Darmstadt, Germany.</t>
  </si>
  <si>
    <t>Eisenhauer, Anton/K-6454-2012; Greve, Ralf/G-2336-2010</t>
  </si>
  <si>
    <t>Greve, Ralf/0000-0002-1341-4777</t>
  </si>
  <si>
    <t>LENSFIELD RD, CAMBRIDGE CB2 1ER, ENGLAND</t>
  </si>
  <si>
    <t>ANN GLACIOL-SER</t>
  </si>
  <si>
    <t>10.3189/172756499781821643</t>
  </si>
  <si>
    <t>WOS:000084312000001</t>
  </si>
  <si>
    <t>Khatwa, A; Hart, JK; Payne, AJ</t>
  </si>
  <si>
    <t>Grain textural analysis across a range of glacial facies</t>
  </si>
  <si>
    <t>SUBGLACIAL GLACIOTECTONIC DEFORMATION; ANTARCTIC ICE STREAM; MICROSCOPIC EVIDENCE; SIZE DISTRIBUTION; TILL; DEBRIS; PAVEMENTS; SEDIMENTS; PARTICLE; STYLES</t>
  </si>
  <si>
    <t>A technique proposed by Hooke and Iverson (1995) to identify deformed subglacial sediments is reviewed and tested, based on two main objectives. First, an investigation of whether the fractal dimension can distinguish between non-deformed and deformed facies; for which we compare supraglacial and subglacial facies explicitly Second, an evaluation of whether the fractal dimension can be used as a diagnostic criteria to discriminate between different styles and degrees of basal deformation. This is tested using a range of sediments from the deformation continuum suggested by Hart and Boulton (1991b). Sixteen subglacial samples were selected from Quaternary sites in England and three supraglacial samples from the modern Haut Glacier d'Arolla, Switzerland. The mean fractal dimension for the subglacial diamicton matrix facies was 2.92, similar to findings of 2.90 by Hooke and Iverson (1995) for their basal tills. The supraglacial facies displayed a mean fractal dimension of 2.83, which is unusually high for facies which are assumed to be undeformed. A Mann-Whitney U test showed that fractal dimensions of supraglacial and subglacial diamicton matrix facies were not significantly different. No significant difference was found between the fractal dimensions of the different tectonic facies within the subglacial group. It may be impossible to separate the subglacial and supraglacial facies because of complex debris paths within the glacier. Grain fracture or parent lithology may affect the particle-size distribution of subglacial facies.</t>
  </si>
  <si>
    <t>Univ Southampton, Dept Geog, Southampton SO17 1BJ, Hants, England</t>
  </si>
  <si>
    <t>Univ Southampton, Dept Geog, Southampton SO17 1BJ, Hants, England.</t>
  </si>
  <si>
    <t>Hart, Jane/J-4321-2012; payne, antony/A-8916-2008</t>
  </si>
  <si>
    <t>Hart, Jane/0000-0002-2348-3944; payne, antony/0000-0001-8825-8425</t>
  </si>
  <si>
    <t>10.3189/172756499781821913</t>
  </si>
  <si>
    <t>WOS:000084312000016</t>
  </si>
  <si>
    <t>Oerter, H; Graf, W; Wilhelms, F; Minikin, A; Miller, H</t>
  </si>
  <si>
    <t>Jacka, TH</t>
  </si>
  <si>
    <t>Accumulation studies on Amundsenisen, Dronning Maud Land, Antarctica, by means of tritium, dielectric profiling and stable-isotope measurements: first results from the 1995-96 and 1996-97 field seasons</t>
  </si>
  <si>
    <t>ANNALS OF GLACIOLOGY, VOL 29, 1999</t>
  </si>
  <si>
    <t>6th International Symposium on Antarctic Glaciology (ISAG-6)</t>
  </si>
  <si>
    <t>SEP 05-09, 1998</t>
  </si>
  <si>
    <t>CHINESE ACAD SCI, LANZHOU INST GLACIOL &amp; GEOCRYOL, LANZHOU, PEOPLES R CHINA</t>
  </si>
  <si>
    <t>CHINESE ACAD SCI, LANZHOU INST GLACIOL &amp; GEOCRYOL</t>
  </si>
  <si>
    <t>ICE CORES; SNOW</t>
  </si>
  <si>
    <t>The paper focuses on studies of snow-pit samples and shallow firn cores taken during the 1995-96 and 1996-97 field seasons at Amundsenisen, Dronning Maud Land, Antarctica. The dating of the firn is based on the artificial tritium distribution in the snow cover and on several reference horizons identified by electrical measurements. The early 1964 through 1965 horizon is marked by the deposition of sulfate released to the atmosphere during the eruption of the Agung volcano in March 1963; this horizon was detected by dielectric profiling and electrical conductivity measurements; the proof by chemical analysis has still to be seen. At the ten investigated sites on Amundsenisen the 1964-65 horizon was identified 4.1-5.7 m below the surface. The accumulation rates on Amundsenisen are 41-91 kg m(-2)a(-1). The cores are up to 100 years old. A relationship between isotope content and the mean air temperature on a regional scale can be based on measurements of firn temperature at 10 m depth at the drilling sites. Between Neumayer station at the coast and Heimefrontfjella, the temperature gradient of the deuterium content is 9.6 parts per thousand K-1 South of Heimefrontfjella, on the Amundsenisen plateau, it is only 5.5 parts per thousand K-1. Time series of yearly accumulation rates show no significant trend. For the isotope records a significant: trend to higher values with gradients of 0.1-0.2 delta(2)H parts per thousand a(-1) can be seen in five of the ten time series.</t>
  </si>
  <si>
    <t>Alfred Wegener Inst Polar &amp; Marine Res, D-27515 Bremerhaven, Germany; GSF Forschungszentrum Umwelt &amp; Gesundheit, D-85758 Oberschleissheim, Germany</t>
  </si>
  <si>
    <t>Helmholtz Association; Alfred Wegener Institute, Helmholtz Centre for Polar &amp; Marine Research; Helmholtz Association; Helmholtz-Center Munich - German Research Center for Environmental Health</t>
  </si>
  <si>
    <t>Oerter, H (corresponding author), Alfred Wegener Inst Polar &amp; Marine Res, POB 120161, D-27515 Bremerhaven, Germany.</t>
  </si>
  <si>
    <t>Minikin, Andreas/A-3904-2011; Wilhelms, Frank/KEI-8426-2024</t>
  </si>
  <si>
    <t>Wilhelms, Frank/0000-0001-7688-3135; Minikin, Andreas/0000-0003-0999-4657; Miller, Heinrich/0000-0003-1015-2828</t>
  </si>
  <si>
    <t>0-946417-24-5</t>
  </si>
  <si>
    <t>10.3189/172756499781820914</t>
  </si>
  <si>
    <t>Geochemistry &amp; Geophysics; Geography, Physical</t>
  </si>
  <si>
    <t>Geochemistry &amp; Geophysics; Physical Geography</t>
  </si>
  <si>
    <t>BP93Z</t>
  </si>
  <si>
    <t>WOS:000086691400001</t>
  </si>
  <si>
    <t>Richardson, C; Holmlund, P</t>
  </si>
  <si>
    <t>Spatial variability at shallow snow-layer depths in central Dronning Maud Land, East Antarctica</t>
  </si>
  <si>
    <t>GROUND-PENETRATING RADAR; DIELECTRIC-CONSTANT; FIRN</t>
  </si>
  <si>
    <t>The spatial variability in snow accumulation varies between different regions in Dronning Maud Land, East Antarctica. This pattern cannot easily be explained by the single action of parameters such as distance to open sea, surface elevation or slope. In 1996-97 we mapped snow-layer depths within the top 11m of the snowpack with a ground-based radar along a 500 km traverse on the polar plateau in central Dronning Maud Land. The results showed that the general accumulation pattern could be described by three major characteristic sections: a pronounced trend of decreasing net accumulation with increasing altitude from 2400 to 2840 m a.s.l.; relatively high erosion rates and occurrence of areas with net erosion at 2840-3140 m a.s.l.; and a slight trend of decreasing net accumulation with increasing altitude from 3140 to 3450 m a.s.l. The spatial variability in snow-layer depths showed a marked change around 3080 m a.s.l., with high variability at lower elevations and low variability at higher elevations. We also determined the spatial representativeness of 11 firn cores drilled along the traverse. In general, the representativeness of the cores was high. However, the core with the lowest representativeness underestimated the mean accumulation rate around the coring site by 22%. This shows that snow-radar data on spatial snow distribution are important for the interpretation of accumulation rates obtained from firn and ice cores.</t>
  </si>
  <si>
    <t>Stockholm Univ, Dept Phys Geog, S-10691 Stockholm, Sweden</t>
  </si>
  <si>
    <t>Stockholm University</t>
  </si>
  <si>
    <t>Richardson, C (corresponding author), Stockholm Univ, Dept Phys Geog, S-10691 Stockholm, Sweden.</t>
  </si>
  <si>
    <t>10.3189/172756499781820905</t>
  </si>
  <si>
    <t>WOS:000086691400002</t>
  </si>
  <si>
    <t>Isaksson, E; van den Broeke, MR; Winther, JG; Karlöf, L; Pinglot, JF; Gundestrup, N</t>
  </si>
  <si>
    <t>Accumulation and proxy-temperature variability in Dronning Maud Land, Antarctica, determined from shallow firn cores</t>
  </si>
  <si>
    <t>SNOW-ACCUMULATION; ICE CORES; CLIMATE; RECORD</t>
  </si>
  <si>
    <t>During 1996-97 a European Project for Ice Goring in Antarctica (EPICA) pre-site surveying traverse worked in the area between 70 degrees S, 5 degrees E and 75 degrees S, 15 degrees E in Dronning Maud Land. We present data obtained from 10 and 20 m deep firn cares drilled between the coast and 600 km inland (to 3450 m a.s.l.). The cores were analyzed for electrical conductivity measurements and total beta activity to obtain accumulation data between known time horizons. In addition, some of the cores were analyzed for oxygen isotopes. Annual accumulation varies from 271 mm we. at Fimbulisen to 24 mm we. at 2840 m a.s.l. Accumulation at core sites 2400-3000 m a.s.l. has increased by 16-48 % since 1965 compared to the 1955-65 period. However, the core sites above 3250 m a.s.l. and one core location on the ice shelf show a decrease during the same period. Furthermore, no change can be detected at the most inland site for the period 1815-1996. In all the cores the last few years seem to have been some of the warmest in these records.</t>
  </si>
  <si>
    <t>Norwegian Polar Res Inst, N-9296 Tromso, Norway; Univ Utrecht, Inst Marine &amp; Atmospher Res, NL-3508 TA Utrecht, Netherlands; Stockholm Univ, Dept Phys Geog, S-10691 Stockholm, Sweden; CNRS, Lab Glaciol &amp; Geophys Environm, F-38402 St Martin Dheres, France; Univ Copenhagen, Niels Bohr Inst, Dept Geophys, DK-2100 Copenhagen, Denmark</t>
  </si>
  <si>
    <t>Norwegian Polar Institute; Utrecht University; Stockholm University; Centre National de la Recherche Scientifique (CNRS); University of Copenhagen; Niels Bohr Institute</t>
  </si>
  <si>
    <t>Norwegian Polar Res Inst, N-9296 Tromso, Norway.</t>
  </si>
  <si>
    <t>Van den Broeke, Michiel R./F-7867-2011</t>
  </si>
  <si>
    <t>Van den Broeke, Michiel R./0000-0003-4662-7565</t>
  </si>
  <si>
    <t>10.3189/172756499781821445</t>
  </si>
  <si>
    <t>WOS:000086691400003</t>
  </si>
  <si>
    <t>Graf, W; Reinwarth, O; Oerter, H; Mayer, C; Lambrecht, A</t>
  </si>
  <si>
    <t>Surface accumulation on Foundation Ice Stream, Antarctica</t>
  </si>
  <si>
    <t>SHELF; SNOW</t>
  </si>
  <si>
    <t>This paper presents new data, derived from an analysis of 16 firn cores, on the distribution of the accumulation rate and O-18 content of near-surface layers in the eastern part of the Ronne Ice Shelf, Antarctica. The firn cores were drilled along the traverse route of the Filchner-V-Campaign in 1995. The traverse followed an ice flowline of the Foundation Ice Stream and reached the margin of the inland ice, an area which has not yet been investigated. On the ice shelf the accumulation rates decrease with distance from the coast. Ascending to the inland ice the accumulation rates again reach almost coastal values. This regional distribution is in agreement with the temperature gradient along the traverse. The O-18 content of the near-surface layers is closely related to the 10 m firn temperature. They strongly decrease from the grounding line towards the inland ice. At the southernmost site at 1100 m a.s.l., the mean delta(18)O value of the firm decreases to -40 parts per thousand. Ice with that isotopic signature was found in cores from the central part of the Ronne Ice Shelf just above the marine ice layer, indicating that it originates from this area. All ice deposited as snow further south was melted beneath the ice shelf after passing the grounding-line area. The time series of accumulation rate and O-18 content reveal no climatic trend during the last 30-50 years.</t>
  </si>
  <si>
    <t>GSF Forschungszentrum Umwelt &amp; Gesundheit, D-85758 Neuherberg, Germany; Kommiss Glaziol, Bayer Akad Wissensch, D-80539 Munich, Germany; Alfred Wegener Inst Polar &amp; Marine Res, D-27515 Bremerhaven, Germany</t>
  </si>
  <si>
    <t>Helmholtz Association; Helmholtz-Center Munich - German Research Center for Environmental Health; Helmholtz Association; Alfred Wegener Institute, Helmholtz Centre for Polar &amp; Marine Research</t>
  </si>
  <si>
    <t>GSF Forschungszentrum Umwelt &amp; Gesundheit, Postfach 1129, D-85758 Neuherberg, Germany.</t>
  </si>
  <si>
    <t>10.3189/172756499781820987</t>
  </si>
  <si>
    <t>WOS:000086691400004</t>
  </si>
  <si>
    <t>Ren, JW; Dahe, Q; Allison, I</t>
  </si>
  <si>
    <t>Variations of snow accumulation and temperature over past decades in the Lambert Glacier basin, Antarctica</t>
  </si>
  <si>
    <t>VOSTOK ICE CORE; CLIMATIC RECORD; CYCLES</t>
  </si>
  <si>
    <t>The Lambert Glacier basin is a region of the East Antarctic ice sheet with a distinctive topography. Accumulation data derived from cane measurements are available from recent inland traverses in the western part of the basin, together with data on stable isotopes and visible stratigraphy of shallow cores and snow pits. These data suggest that snow accumulation has decreased since the 1930s by 16-37%, but that since the late 1980s it has been increasing. Temperature records from the nearby coastal station, Mawson, show no clear trend. Although the data are from only the western part of the basin, these results are quite different from those in many other regions of Antarctica. Further investigations are needed in this potentially exceptional region.</t>
  </si>
  <si>
    <t>Chinese Acad Sci, Lanzhou Inst Glaciol &amp; Geocryol, Lab Ice Core &amp; Cold Reg Environm, Lanzhou 730000, Gansu, Peoples R China; Antarctic CRC, Hobart, Tas 7001, Australia; Australian Antarctic Div, Hobart, Tas 7001, Australia</t>
  </si>
  <si>
    <t>Chinese Academy of Sciences; Australian Antarctic Division</t>
  </si>
  <si>
    <t>Chinese Acad Sci, Lanzhou Inst Glaciol &amp; Geocryol, Lab Ice Core &amp; Cold Reg Environm, Lanzhou 730000, Gansu, Peoples R China.</t>
  </si>
  <si>
    <t>Allison, Ian F/I-4477-2015; Jiawen, Ren/K-7734-2012</t>
  </si>
  <si>
    <t>Allison, Ian F/0000-0001-9599-0251;</t>
  </si>
  <si>
    <t>WOS:000086691400005</t>
  </si>
  <si>
    <t>Stenberg, M; Hansson, M; Holmlund, P; Karlöf, L</t>
  </si>
  <si>
    <t>Variability in snow layering and snow chemistry in the vicinity of two drill sites in western Dronning Maud Land, Antarctica</t>
  </si>
  <si>
    <t>As part of the pre-site survey in Dronning Maud Land for the European Project for Ice Goring in Antarctica (EPICA), the spatial variability of snow-layer thickness and snow chemistry was studied at two geographically different ice-core drill sites. The study aimed to quantify error bars on accumulation rates derived from firn and ice cores. One site is located on the polar plateau at Amundsenisen (76 degrees S, 8 degrees W) and the other in the coastal area at Maudheimvidda (73 degrees S, 13 degrees W). Medium-deep ice cores (100 m) and shallow firn cores (10-20 m) were drilled and snow pits (0.5-2.5 m) were dug at each site. At Amundsenisen a large (16 m x 6 m x 2.5 m deep) snow pit was dug. Snow structure in this large snow pit was mapped using optical surveying equipment, and photographically documented. Samples for analysis of nine ions and oxygen isotopes were collected along one depth profile. Density and in situ electrical conductivity measurements were made along three depth profiles. Snow-layer variability was studied in two different areas and at two different scales. At a regional scale, measured by snow-radar soundings, the variability was 8% on the polar plateau and 45% in the coastal area. The variability at a micro-scale in the large snow pit was 9%. The results indicate that ice cores from the polar plateau are more representative for a larger area than ice cores drilled in the coastal area. There is no doubt: that there are significant error bars on high-resolution accumulation data received from firn and ice cores, especially from the coastal area, but averaging over tens of years reduces the error in accumulation estimates.</t>
  </si>
  <si>
    <t>Stockholm Univ, Dept Phys Geog, S-10691 Stockholm, Sweden; Stockholm Univ, Dept Meteorol, S-10691 Stockholm, Sweden; Norwegian Polar Res Inst, N-9006 Tromso, Norway</t>
  </si>
  <si>
    <t>Stockholm University; Stockholm University; Norwegian Polar Institute</t>
  </si>
  <si>
    <t>Stenberg, M (corresponding author), Stockholm Univ, Dept Phys Geog, S-10691 Stockholm, Sweden.</t>
  </si>
  <si>
    <t>10.3189/172756499781821030</t>
  </si>
  <si>
    <t>WOS:000086691400006</t>
  </si>
  <si>
    <t>Kreutz, KJ; Mayewski, PA; Twickler, MS; Whitlow, SI; White, JWC; Shuman, CA; Raymond, CF; Conway, H; McConnell, JR</t>
  </si>
  <si>
    <t>Seasonal variations of glaciochemical, isotopic and stratigraphic properties in Siple Dome (Antarctica) surface snow</t>
  </si>
  <si>
    <t>GREENLAND ICE CORE; SOUTH-POLE; FIRN; ACCUMULATION; RECORD; TEMPERATURE; CHEMISTRY; CLIMATE; SUMMIT; H2O2</t>
  </si>
  <si>
    <t>Six snow-pit records recovered from Siple Dome, West Antarctica, during 1994 are used to study seasonal variations in chemical (major ion and H2O2), isotopic (deuterium) and physical stratigraphic properties during the 1988-94 period. Comparison of delta D measurements and satellite-derived brightness temperature for the Siple Dome area suggests that most seasonal delta D maxima occur within +/-4 weeks of each 1 January. Several other chemical species (H2O2, non-sea-salt (nss) SO42-, methanesulfonic acid and NO3-) show coeval peaks with delta D, together providing an accurate method for identifying summer accumulation. Sea-salt-derived species generally peak during winter/spring, but episodic input is noted throughout some years. No reliable seasonal signal is identified in species with continental sources (nssCa(2+), nssMg(2+)), NH4+ or nssCl(-). Visible strata such as large depth-hoar layers (&gt;5 cm) are associated with summer accumulation and its metamorphosis, but smaller hear layers and crusts are more difficult to interpret. A multi-parameter approach is found to provide the most accurate dating of these snow-pit records, and is used to determine annual laver thicknesses at each site. Significant spatial accumulation variability exists on an annual basis, but mean accumulation in the sampled 10 km(2) grid for the 1988-94 period is fairly uniform.</t>
  </si>
  <si>
    <t>Univ New Hampshire, Inst Study Earth Oceans &amp; Space, Climate Change Res Ctr, Durham, NH 03824 USA; Univ New Hampshire, Dept Earth Sci, Durham, NH 03824 USA; Univ Colorado, Inst Arctic &amp; Alpine Res, Stable Isotope Lab, Boulder, CO 80303 USA; NASA, Goddard Space Flight Ctr, Greenbelt, MD 20771 USA; Univ Washington, Geophys Program, Seattle, WA 98195 USA; Univ Nevada, Desert Res Inst, Reno, NV 89506 USA</t>
  </si>
  <si>
    <t>University System Of New Hampshire; University of New Hampshire; University System Of New Hampshire; University of New Hampshire; University of Colorado System; University of Colorado Boulder; National Aeronautics &amp; Space Administration (NASA); NASA Goddard Space Flight Center; University of Washington; University of Washington Seattle; Nevada System of Higher Education (NSHE); Desert Research Institute NSHE; University of Nevada Reno</t>
  </si>
  <si>
    <t>Kreutz, KJ (corresponding author), Woods Hole Oceanog Inst, Dept Marine Chem &amp; Geochem, Woods Hole, MA 02543 USA.</t>
  </si>
  <si>
    <t>White, James W.C./A-7845-2009; Mayewski, Paul Andrew/HRD-6969-2023</t>
  </si>
  <si>
    <t>10.3189/172756499781821193</t>
  </si>
  <si>
    <t>WOS:000086691400007</t>
  </si>
  <si>
    <t>Delaygue, G; Masson, V; Jouzel, J</t>
  </si>
  <si>
    <t>Climatic stability of the geographic origin of Antarctic precipitation simulated by an atmospheric general circulation model</t>
  </si>
  <si>
    <t>DEUTERIUM EXCESS; GCM ANALYSIS; ICE; CYCLE; SNOW</t>
  </si>
  <si>
    <t>The geographic origin of Antarctic precipitation is important for ice-core isotopic interpretation as well as ice-sheet mass-balance calculations. Here we estimate these moisture origins with the NASA/Goddard Institute of Space Studies atmospheric general circulation model, under different climatic conditions. This model reasonably simulates the broad features of the present-day observed hydrological cycle, and indicates a subtropical to subglacial (30-60 degrees S) latitudinal origin for the Antarctic precipitation. We use different climatic reconstructions, all based on CLIMAP, for the Last Glacial Maximum (about 21000 years ago), which differ by the latitudinal sea-surface temperature gradient and seasonality. CLIMAP conditions increase the latitudinal gradient and the sea-ice extent, with the consequence of slightly enhancing the low-latitude origins. Shifting the seasonal cycle of oceanic prescribed conditions has an important effect on the hydrological cycle but less on the precipitation origin. Prescribing cooler tropical sea-surface temperatures, which decreases the latitudinal gradient, makes the latitudinal contributions closer to modern ones and increases the dominant oceanic sources. Globally the origins of Antarctic precipitation do not change significantly, either annually or seasonally.</t>
  </si>
  <si>
    <t>CE Saclay, Lab Sci Climat &amp; Environm, F-91191 Gif Sur Yvette, France; Europole Arbois, Ctr Europeen Rech &amp; Enseignement Geosci Environm, F-13545 Aix En Provence, France</t>
  </si>
  <si>
    <t>Universite Paris Saclay; CEA; Centre National de la Recherche Scientifique (CNRS); Aix-Marseille Universite</t>
  </si>
  <si>
    <t>Delaygue, G (corresponding author), CE Saclay, Lab Sci Climat &amp; Environm, Orme Merisiers, F-91191 Gif Sur Yvette, France.</t>
  </si>
  <si>
    <t>10.3189/172756499781821544</t>
  </si>
  <si>
    <t>WOS:000086691400008</t>
  </si>
  <si>
    <t>Reijmer, C; Greuell, W; Oerlemans, J</t>
  </si>
  <si>
    <t>The annual cycle of meteorological variables and the surface energy balance on Berkner Island, Antarctica</t>
  </si>
  <si>
    <t>AUTOMATIC WEATHER STATIONS; TEMPERATURE PROFILES; ICE-SHEET; BLUE ICE; SNOW; RADIATION; MODEL</t>
  </si>
  <si>
    <t>In February 1995 an automatic weather station (AWS) was placed on Thyssen Hohe, the south dome of Berkner Island, Antarctica. A fairly complete 3 year meteorological dataset of hourly average data was obtained. The mean annual temperature is about -24 degrees C. The annual mass balance is about + 180 mm we. Summer temperatures stay below 0 degrees C, which implies that no melt takes place. Because the AWS is located on a dome, katabatic winds are not active, the wind direction is variable (directional constancy 0.38) and the wind speed relatively low (4.5 m s(-1)). Annual average variables are compared with data from Recovery Glacier AWS and Halley station. The measurements are used to evaluate the surface energy fluxes for the 3 year period by using a surface energy-balance model. The annual average gain of energy from the sensible-heat flux (+10.8 W m(-2)) is balanced by a negative net radiative flux (-9.1 W m(-2)) and a small negative latent-heat flux (-1.7 W m(-2)). The annual subsurface flux is small.</t>
  </si>
  <si>
    <t>Univ Utrecht, Inst Marine &amp; Atmospher Res Utrecht, NL-3584 CC Utrecht, Netherlands</t>
  </si>
  <si>
    <t>Univ Utrecht, Inst Marine &amp; Atmospher Res Utrecht, Princetonpl 5, NL-3584 CC Utrecht, Netherlands.</t>
  </si>
  <si>
    <t>Reijmer, Carleen H/G-8736-2011; Oerlemans, Johannes/G-3802-2011</t>
  </si>
  <si>
    <t>Reijmer, Carleen H/0000-0001-8299-3883; Greuell, Wouter/0000-0002-3300-5831</t>
  </si>
  <si>
    <t>10.3189/172756499781821166</t>
  </si>
  <si>
    <t>WOS:000086691400009</t>
  </si>
  <si>
    <t>Qin, DH; Mayewski, PA; Ren, JW; Xiao, CD; Sun, JY</t>
  </si>
  <si>
    <t>The Weddell Sea region: an important precipitation channel to the interior of the Antarctic ice sheet as revealed by glaciochemical investigation of surface snow along the longest trans-Antarctic route</t>
  </si>
  <si>
    <t>INFORMATION; CHEMISTRY; CORES</t>
  </si>
  <si>
    <t>Glaciochemical analysis of surface snow samples, collected along a profile crossing the Antarctic ice sheet from the Larsen Ice Shelf Antarctic Peninsula, via the Antarctic Plateau through South Pole,Vostok and Komsomolskaya to Mirny station (at the east margin of East Antarctica), shows that the Weddell Sea region is an important channel for air masses to the high plateau of the Antarctic ice sheet ( &gt; 2000 m a.s.l) This opinion is supported by the following (1) The fluxes of sea-salt ions such as Na+, Mg2+ and Cl- display a decreasing trend from the west to the east of interior Antarctica. In general, as sea-salt aerosols are injected into the atmosphere over the Antarctic ice sheet from the Weddell Sea, large aerosols tend to decrease. For the inland plateau, few large particles of sea-salt aerosol reach the area, and the sea-salt concentration levels are low (2) The high altitude of the East Antarctic plateau, as well as the polar cold high-pressure system, obstruct the intrusive air masses mainly from the South Indian Ocean sector. (3) For the coastal regions of the East Antarctic ice sheet, the elevation rises to 2000 m over a distance from several to several tens of km. High concentrations of sea salt exist in snow in East Antarctica but are limited to a narrow coastal zone. (4) Fluxes of calcium and non-sea-salt sulfate in snow from the interior plateau do not display an eastward-decreasing trend. Since calcium is mainly derived from crustal sources, and nssSO(4)(2-) is a secondary aerosol, this again confirms that the eastward-declining tendency of sea-salt ions indicates the transfer direction of precipitation vapor.</t>
  </si>
  <si>
    <t>Chinese Acad Sci, Lanzhou Inst Glaciol &amp; Geocryol, Lab Ice Core &amp; Cold Reg Environm, Lanzhou 730000, Gansu, Peoples R China; Univ New Hampshire, Inst Study Earth Oceans &amp; Space, Climate Change Res Ctr, Durham, NH 03824 USA</t>
  </si>
  <si>
    <t>Chinese Academy of Sciences; University System Of New Hampshire; University of New Hampshire</t>
  </si>
  <si>
    <t>Sun, Junying/AAU-6239-2020; Mayewski, Paul Andrew/HRD-6969-2023</t>
  </si>
  <si>
    <t>Sun, Junying/0000-0003-1064-9017;</t>
  </si>
  <si>
    <t>WOS:000086691400010</t>
  </si>
  <si>
    <t>Wu, XR; Budd, WF; Jacka, TH</t>
  </si>
  <si>
    <t>Simulations of Southern Hemisphere warming and Antarctic sea-ice changes using global climate models</t>
  </si>
  <si>
    <t>GENERAL-CIRCULATION MODEL; EDDY-INDUCED ADVECTION; TEMPERATURE; OCEAN; EXTENT</t>
  </si>
  <si>
    <t>A combination of modelling techniques is used in conjunction with the limited available observational data to examine Antarctic sea-ice changes with global warming over the past century. Firstly, a coupled global climate model is forced by prescribing the effect of increasing greenhouse gases from last century to the present. Secondly, the GISST (U.K, Meteorological Office global sea-ice and sea surface temperature) observational dataset is used to force an atmosphere-sea-ice model to compute changes in the Antarctic sea ice from last century to the present. Thirdly, the global sea-surface-temperature (SST) anomalies derived from the coupled model are used to force the atmosphere-sea-ice model over the same period. The change in the Southern Hemisphere annual mean surface temperature simulated by the coupled model with greenhouse-gas forcing is about 0.6 degrees C, which is similar to the observed change. Over the Antarctic (poleward of 60 degrees S) the corresponding simulated change is about 0.7 degrees C, which also appears compatible with observations. The reduction in summer sea-ice extent simulated by the CSIRO (Commonwealth Scientific and Industrial Research Organisation) coupled model is 0.44 degrees lat. which is, in general, less than the observed change. For the two SST forcing cases the changes are, in general, larger than indicated by the observations. It is concluded that future changes of reduced sea-ice extent from increasing greenhouse gases as simulated by the CSIRO coupled model are not expected to be overestimates.</t>
  </si>
  <si>
    <t>Antarctic CRC, Hobart, Tas 7001, Australia; Australian Antarctic Div, Hobart, Tas 7001, Australia</t>
  </si>
  <si>
    <t>Wu, XR (corresponding author), Antarctic CRC, Box 252-80, Hobart, Tas 7001, Australia.</t>
  </si>
  <si>
    <t>10.3189/172756499781821517</t>
  </si>
  <si>
    <t>WOS:000086691400011</t>
  </si>
  <si>
    <t>Legrand, M; Wolff, E; Wagenbach, D</t>
  </si>
  <si>
    <t>Antarctic aerosol and snowfall chemistry: implications for deep Antarctic ice-core chemistry</t>
  </si>
  <si>
    <t>NITROUS-OXIDE; SURFACE SNOW; NITRATE; PRECIPITATION; EMISSIONS; SULFATE</t>
  </si>
  <si>
    <t>In this paper we first summarise major findings of recent atmospheric studies of nitrogen and sulphur species present in the boundary layer of coastal Antarctic regions. We then discuss the implications of such atmospheric data for the interpretation of nitrate, ammonium, methanesulphonate and sulphate records in deep ice cores extracted from central Antarctica in terms of past atmospheric chemistry changes.</t>
  </si>
  <si>
    <t>CNRS, Lab Glaciol &amp; Geophys Environm, F-38402 St Martin Dheres, France; British Antarctic Survey, NERC, Cambridge CB3 0ET, England; Univ Heidelberg, Inst Umweltphys, D-69120 Heidelberg, Germany</t>
  </si>
  <si>
    <t>Centre National de la Recherche Scientifique (CNRS); UK Research &amp; Innovation (UKRI); Natural Environment Research Council (NERC); NERC British Antarctic Survey; Ruprecht Karls University Heidelberg</t>
  </si>
  <si>
    <t>Legrand, M (corresponding author), CNRS, Lab Glaciol &amp; Geophys Environm, BP 96, F-38402 St Martin Dheres, France.</t>
  </si>
  <si>
    <t>Legrand, Michel/AAU-4678-2020; Wolff, Eric W/D-7925-2014</t>
  </si>
  <si>
    <t>10.3189/172756499781821094</t>
  </si>
  <si>
    <t>WOS:000086691400012</t>
  </si>
  <si>
    <t>Hou, SG; Qin, DH; Ren, JW</t>
  </si>
  <si>
    <t>Different post-depositional processes of NO3- in snow layers in East Antarctica and on the northern Qinghai-Tibetan Plateau</t>
  </si>
  <si>
    <t>NITRATE; STRATOSPHERE; CHEMISTRY; CHINA; FLUX; HCL; ICE</t>
  </si>
  <si>
    <t>Through comparison of snow-pit NO3- profiles from central East Antarctica and the northern Qinghai-Tibetan Plateau (QTP), we conclude that NO3- peaks in the uppermost surface snow layers in central East Antarctica are not related to an atmospheric signal and that they need to be accounted for by post-depositional effects. Such effects, however, are not found in the snow-pit NO3- profiles from the northern QTP. NO3- can be deposited as a gas (HNO3-) or as a neutral salt, particularly by reaction with ammonia to form NH4NO3, or fixed by sea salt or terrestrial dust (Mulvaney and others, 1998). Thus, a difference in speciation between NO3- in snow layers in East Antarctica and at the northern QTP is suggested as the reason for the different post-depositional processes of NO3- in the two areas.</t>
  </si>
  <si>
    <t>Chinese Acad Sci, Lanzhou Inst Glaciol &amp; Geocryol, Lab Ice Core &amp; Cold Reg Environm, Lanzhou 730000, Gansu, Peoples R China</t>
  </si>
  <si>
    <t>WOS:000086691400013</t>
  </si>
  <si>
    <t>Udisti, R; Becagli, S; Castellano, E; Traversi, R; Vermigli, S; Piccardi, G</t>
  </si>
  <si>
    <t>Sea-spray and marine biogenic seasonal contribution to snow composition at Terra Nova Bay, Antarctica</t>
  </si>
  <si>
    <t>NORTHERN VICTORIA LAND; CHEMICAL-COMPOSITION; PACIFIC-OCEAN; SALT SULFATE; ICE; AEROSOL; SULFUR; METHANESULFONATE; DIMETHYLSULFIDE; ATMOSPHERE</t>
  </si>
  <si>
    <t>Primary and secondary marine aerosol contributions to snow composition in Terra Nova Bay, Antarctica, were evaluated by chemical analysis of surface and snow-pit samples. A seasonal pattern of marine inputs, very clear for secondary aerosol (mainly constituted by nssSO(4)(2-) and methanesulphonic acid (MSA) coming from phytoplanktonic activity) and less evident for sea spray (Na+, Cl-, Mg2+), was shown by snow-pit samples. Altitude and distance from the coast were found to be the main parameters affecting seasonal change in the composition of snow collected within about a 200 km radius of the Terra Nova Bay Italian base. Using Na+ as a sea-spray indicator and MSA as a biogenic marker, fractionating aerosol effects (which are altitude-induced) as well as source contributions for Cl- and nssSO(4)(2-) were found. A nssSO(4)(2-)/MSA ratio of 2.7 (w/w), indicating their distribution from the common source dimethylsulphide, was calculated from analysis of fresh summer snow collected in horizontal and vertical transects in northern Victoria Land.</t>
  </si>
  <si>
    <t>Univ Florence, Analyt Chem Sect, Dept Publ Hlth &amp; Environm Analyt Chem, I-50121 Florence, Italy; Univ Calabria, Dept Chem, I-87030 Arcavacata, Cosenza, Italy</t>
  </si>
  <si>
    <t>University of Florence; University of Calabria</t>
  </si>
  <si>
    <t>Udisti, R (corresponding author), Univ Florence, Analyt Chem Sect, Dept Publ Hlth &amp; Environm Analyt Chem, Via G Capponi 9, I-50121 Florence, Italy.</t>
  </si>
  <si>
    <t>Udisti, Roberto/M-7966-2015; Becagli, Silvia/GNW-2665-2022; Traversi, Rita/M-7586-2015</t>
  </si>
  <si>
    <t>Udisti, Roberto/0000-0003-4440-8238; Becagli, Silvia/0000-0003-3633-4849; Traversi, Rita/0000-0002-9790-2195</t>
  </si>
  <si>
    <t>10.3189/172756499781820923</t>
  </si>
  <si>
    <t>WOS:000086691400014</t>
  </si>
  <si>
    <t>Sun, JY; Ren, JW; Qin, DH; Wang, XX</t>
  </si>
  <si>
    <t>Sulfur-containing species in a snow pit in the Lambert Glacier basin, East Antarctica</t>
  </si>
  <si>
    <t>OZONE MAPPING SPECTROMETER; SOUTH POLAR SNOW; SEA-SALT SULFATE; METHANESULFONIC-ACID; ICE-CORE; SEASONAL-VARIATIONS; EL-NINO; AEROSOL; RECORD; CHEMISTRY</t>
  </si>
  <si>
    <t>A 2.7 m snow pit was sampled in the Lambert Glacier basin, about 650 km from the coast. Concentrations of methanesulfonic acid (MSA) and non-sea-salt SO42- (nssSO(4)(2-)) show distinct variation with depth in the snow pit. The seasonal variation of MSA is used to date the snow-pit samples. MSA concentration is in the range 1.9-22.0 mu g kg(-1) with a mean of 7.0 mu g kg(-1). The mean nssSO(4)(2-) concentration is 41.5 mu g kg(-1) with a range of 0-87 mu g kg(-1). The nssSO(4)(2-) concentration was calculated by subtracting the sea-salt sulfate contribution using Na+ as a conservative tracer. The nssSO(4)(2-) contributes about 80% of the total sulfate in the snow pit. The mean mass ratio of MSA to nssSO(4)(2-), 0.176, is much higher than that measured in the low to mid-latitudes, but is very close to the ratio in snow at the South Pole. El Chichon and Hudson volcanic eruptions do not significantly perturb the nssSO(4)(2-) concentrations at this site. MSA concentrations are anticorrelated with sea-ice area for the South Indian Ocean sector between 40 degrees and 90 degrees E, suggesting enhanced MSA production accompanying low sea-ice coverage.</t>
  </si>
  <si>
    <t>Sun, JY (corresponding author), Chinese Acad Sci, Lanzhou Inst Glaciol &amp; Geocryol, Lab Ice Core &amp; Cold Reg Environm, Lanzhou 730000, Gansu, Peoples R China.</t>
  </si>
  <si>
    <t>Sun, Junying/AAU-6239-2020</t>
  </si>
  <si>
    <t>Sun, Junying/0000-0003-1064-9017</t>
  </si>
  <si>
    <t>WOS:000086691400015</t>
  </si>
  <si>
    <t>Wolff, E; Basile, I; Petit, JR; Schwander, J</t>
  </si>
  <si>
    <t>Comparison of Holocene electrical records from Dome C and Vostok, Antarctica</t>
  </si>
  <si>
    <t>POLAR ICE CORES; STRATIGRAPHY; CONDUCTIVITY</t>
  </si>
  <si>
    <t>As part of the European Project for Ice Goring in Antarctica, a new deep ice core is being drilled at Dome C. Two electrical methods have been used on the core drilled so far: a new design of electrical conductivity method (ECM) instrument, and a traditional dielectric profiler. The two profiles are very similar in both peaks and background, consistent with acidity being the dominant influence on both in this part of the record. The Dome C records have been compared to ECM records from Vostok, and a tentative match has been made between them. This suggests a long-term average ratio of accumulation rate of 1.36 between this Dome C core and Vostok, and that the Dome C core analyzed so far (to 358 m) probably includes the very end of the Glacial-Holocene transition.</t>
  </si>
  <si>
    <t>British Antarctic Survey, Nat Environm Res Council, Cambridge CB3 0ET, England; Univ Aix Marseille 3, CEREGE, F-13545 Aix En Provence 04, France; CNRS, Lab Glaciol &amp; Geophys Environm, F-38402 St Martin Dheres, France; Univ Bern, Inst Phys, CH-3012 Bern, Switzerland</t>
  </si>
  <si>
    <t>UK Research &amp; Innovation (UKRI); Natural Environment Research Council (NERC); NERC British Antarctic Survey; Aix-Marseille Universite; Centre National de la Recherche Scientifique (CNRS); University of Bern</t>
  </si>
  <si>
    <t>Wolff, E (corresponding author), British Antarctic Survey, Nat Environm Res Council, Madingley Rd, Cambridge CB3 0ET, England.</t>
  </si>
  <si>
    <t>Basile, Isabelle IBD/B-4173-2010; Wolff, Eric W/D-7925-2014</t>
  </si>
  <si>
    <t>10.3189/172756499781820888</t>
  </si>
  <si>
    <t>WOS:000086691400016</t>
  </si>
  <si>
    <t>Qin, DH; Mayewski, PA; Lyons, WB; Sun, JY; Hou, SG</t>
  </si>
  <si>
    <t>Lead pollution in Antarctic surface snow revealed along the route of the International Trans-Antarctic Expedition</t>
  </si>
  <si>
    <t>HEAVY-METALS; ANTHROPOGENIC LEAD; ICE</t>
  </si>
  <si>
    <t>This paper reports the lead concentration and flux (where accumulation rate is available) along the route of the 1990 International Trans-Antarctic Expedition. The lead concentration in Larsen Ice Shelf and Antarctic Peninsula, the western part of the route, was 7.4 +/- 4.1 pg g(-1). The lead concentration in East Antarctic snow (South Pole to Mirny station) was 2-3 times higher than that in West Antarctica (Larsen Ice Shelf to South Pole). Taking into account the difference in site conditions, the difference between the above value over this area in 1989 and the value of 6.3 +/- 3.3 pg g(-1) at a site within this area in 1980 (Wolff and Peel, 1985) is not significant. Because the relative contribution of soil dust, volcanoes and the oceans to lead concentration in Antarctica is about 0.5 pg g(-1) under modern climatic conditions (Boutron and Patterson, 1987), it is believed that the lead in Antarctic surface snow is dominated by pollution input. The lead-concentration increase from west to east over the trans-Antarctic route suggests that remote Antarctica has been impacted by anthropogenic activities. The lowest lead flux (0.064 ng cm(-2) a(-1)) was on the Antarctic Plateau, mainly reflecting the background global pollution. The mean flux of 0.273 ng cm(-2) a(-1) in the western part of the route (Larsen Ice Shelf to the Ellsworth Mountains) may result from the pollution input from the Southern Hemisphere. In addition to the influence of global and/or hemispheric pollution, local activities (notably the use of leaded gasolene) appear to have affected the region from Pionerskaya to Mirny.</t>
  </si>
  <si>
    <t>Chinese Acad Sci, Lanzhou Inst Glaciol &amp; Geocryol, Lab Ice Core &amp; Cold Reg Environm, Lanzhou 730000, Gansu, Peoples R China; Univ New Hampshire, Inst Study Earth Oceans &amp; Space, Climate Change Res Ctr, Durham, NH 03824 USA; Univ Alabama, Dept Geol, Tuscaloosa, AL 35487 USA</t>
  </si>
  <si>
    <t>Chinese Academy of Sciences; University System Of New Hampshire; University of New Hampshire; University of Alabama System; University of Alabama Tuscaloosa</t>
  </si>
  <si>
    <t>Sun, Junying/0000-0003-1064-9017; Hou, Shugui/0000-0002-0905-3542</t>
  </si>
  <si>
    <t>WOS:000086691400017</t>
  </si>
  <si>
    <t>Jihong, CD; Mosley-Thompson, E</t>
  </si>
  <si>
    <t>The Pinatubo eruption in South Pole snow and its potential value to ice-core paleovolcanic records</t>
  </si>
  <si>
    <t>EXPLOSIVE VOLCANISM; ANTARCTIC ICE; MOUNT-PINATUBO; GREENLAND; ACCUMULATION; AEROSOL; IMPACT; SHEET</t>
  </si>
  <si>
    <t>Snow samples collected in the 1996 austral summer at South Pole show that sulfate concentrations in snow and, by inference, sulfur aerosol concentrations in the Antarctic atmosphere were elevated from the end of 1991 to mid-1994 over a stable, nonvolcanic background. The new data support earlier findings that the June 1991 Pinatubo eruption and the Hudson eruption in the same year deposited volcanic sulfate and tephra in South Pole snow, and provide strong evidence of the global distribution of volcanic materials from the Pinatubo eruption. in this study, snow samples were taken in six snow pits spatially distributed around the South Pole station in order to evaluate the local spatial variability of volcanic signals due to glaciological variables such as snow-accumulation rates and snow redistribution by wind after initial deposition. The results indicate that Pinatubo sulfate flux varies by as much as 20% throughout a 400 km(2) area centered around the South Pole station. This glaciological variability probably represents the likely range of volcanic signals due to variations in snow deposition and post-depositional changes. The Pinatubo eruption provides an unprecedented opportunity to estimate aerosol mass loadings by explosive volcanic eruptions found in Antarctic ice cores via a quantitative relationship between aerosol mass loadings and sulfate flux in Antarctic snow. Here the satellite-estimated Pinatubo SO2 emission and the measured Volcanic sulfate nux in snow with an assumed linearly quantitative relationship, are used to calculate SO2 loadings for several well-known volcanic eruptions in the past 300 years covered by a shallow (42 m) South Pole firn core drilled in 1996. The errors for the calculated mass loadings are estimated by means of the glaciological variability associated with Pinatubo volcanic flux.</t>
  </si>
  <si>
    <t>Ohio State Univ, Byrd Polar Res Ctr, Columbus, OH 43210 USA; Ohio State Univ, Dept Geog, Columbus, OH 43210 USA</t>
  </si>
  <si>
    <t>University System of Ohio; Ohio State University; University System of Ohio; Ohio State University</t>
  </si>
  <si>
    <t>10.3189/172756499781821319</t>
  </si>
  <si>
    <t>WOS:000086691400018</t>
  </si>
  <si>
    <t>Stenni, B; Caprioli, R; Cimino, L; Cremisini, C; Flora, O; Gragnani, R; Longinelli, A; Maggi, V; Torcini, S</t>
  </si>
  <si>
    <t>200 years of isotope and chemical records in a firn core from Hercules Neve, northern Victoria Land, Antarctica</t>
  </si>
  <si>
    <t>SOUTH-POLE; TEMPERATURE-CHANGES; VOLCANIC-ERUPTIONS; ICE-SHEET; LAW DOME; CLIMATE; GREENLAND; ACCUMULATION; SNOW; PRECIPITATION</t>
  </si>
  <si>
    <t>A 42.2 m firn core was collected at the Hercules Neve plateau (100 km inland and 2960 m a.s.l.), northern Victoria Land, during the 1994-95 Italian Antarctic Expedition. Chemical (Cl-, NO3-, SO42- and H2O2) and isotope (delta(18)O) analyses were performed to evaluate the snow-accumulation rate at this site. Tritium measurements were performed in the upper part of the core to narrow down the dating of the core. High nssSO(4)(2-) concentrations seem to be related to some explosive volcanic eruptions, such as Tambora (AD 1815) and the preceding event called Unknown (AD 1809), Coseguina (AD 1835), Makjan (AD 1861), Krakatoa (IUD 1883) and Tarawera (AD 1886). A comparison between the seasonal variations observed in the isotope and chemical profiles was carried out in order to reduce the dating uncertainty, using the tritium and the volcanic markers as time constraints. A deposition period of 222 years was determined. The 3 year smoothed delta(18)O profile shows more negative values from the bottom of the core (dated AD 1770) throughout the 19th century, suggesting cooler conditions, in agreement with other East Antarctic ice-core records. Subsequently, a general increase in delta(18)O values is observed. The calculated average snow-accumulation rates between the above-mentioned time markers are 111-129 kg m(-2) a(-1).</t>
  </si>
  <si>
    <t>Univ Trieste, Dipartimento Sci Geol Ambientali &amp; Marine, I-34127 Trieste, Italy; Ctr Ric Energia Casaccia, AMB, Ente Nuove Tecnol Energia &amp; Ambiente, I-00100 Rome, Italy; Univ Milan, Dipartimento Sci Ambiente &amp; Terr, I-20126 Milan, Italy</t>
  </si>
  <si>
    <t>University of Trieste; Italian National Agency New Technical Energy &amp; Sustainable Economics Development; University of Milan</t>
  </si>
  <si>
    <t>Univ Trieste, Dipartimento Sci Geol Ambientali &amp; Marine, Via E Weiss 2, I-34127 Trieste, Italy.</t>
  </si>
  <si>
    <t>Cremisini, Carlo/AAL-2350-2021; Maggi, Valter/E-1878-2014; Maggi, Valter/AAX-5728-2020</t>
  </si>
  <si>
    <t>Maggi, Valter/0000-0001-6287-1213; Stenni, Barbara/0000-0003-4950-3664</t>
  </si>
  <si>
    <t>10.3189/172756499781821175</t>
  </si>
  <si>
    <t>WOS:000086691400019</t>
  </si>
  <si>
    <t>Udisti, R; Barbante, C; Castellano, E; Vermigli, S; Traversi, R; Capodaglio, G; Piccardi, G</t>
  </si>
  <si>
    <t>Chemical characterisation of a volcanic event (about AD 1500) at Styx Glacier plateau, northern Victoria Land, Antarctica</t>
  </si>
  <si>
    <t>NOVA BAY ANTARCTICA; GREENLAND ICE; EXPLOSIVE VOLCANISM; CARBOXYLIC-ACIDS; SNOW COMPOSITION; RECORD; ERUPTION; CORE; ACCUMULATION; EMISSIONS</t>
  </si>
  <si>
    <t>A dark layer (similar to 1 cm thick, 93.41 m deep) was identified in an ice core (116 m deep, covering the period similar to 1350-1995) drilled at Styx Glacier plateau, northern Victoria Land, Antarctica. The ice-core section was dated around AD 1500 +/- 20 by a firn-densification model. A chemical characterisation was performed on ten subsamples (resolution 3 cm) located around the dark layer by ion chromatography. The concentration/depth profiles of anions (Cl-, Br-, NO3-, H2PO4-, SO42-), cations (Na+, NH4+, K+, Mg2+, Ca2+) and some organic anions (acetate, formate, propionate and methanesulphonate (MSA)) indicate very high concentration peaks for all the components. However, non-sea-salt sulphate (nssSO(4)(2-)) and F- show the greatest increase with respect to background values (370 and 860 times, respectively). A crustal contribution is attributed to Ca2+ and MSA. The profiles of gas-phase emitted substances (HF, HBr, HNO3 and carboxylic acid) suggest gas emission just before the volcanic eruption. Chloride depletion is evident in the dark layer with respect to Na+/Cl- sea-water ratio. At present, it is not possible to attribute an unambiguous source to the volcanic event, but several pieces of evidence lead us to believe that this may be a time-limited local event.</t>
  </si>
  <si>
    <t>Univ Calabria, Dept Chem, I-87030 Arcavacata Di Rende, Cosenza, Italy; Univ Venice, Dept Environm Sci, I-30123 Venice, Italy; CNR, Ctr Studio Chim &amp; Tecnol Ambiente, I-30123 Venice, Italy; Univ Florence, Dept Publ Hlth &amp; Environm Analyt Chem, I-50121 Florence, Italy</t>
  </si>
  <si>
    <t>University of Calabria; Universita Ca Foscari Venezia; Consiglio Nazionale delle Ricerche (CNR); University of Florence</t>
  </si>
  <si>
    <t>Univ Florence, Analyt Chem Sect, Via G Capponi 9, I-50127 Florence, Italy.</t>
  </si>
  <si>
    <t>Udisti, Roberto/M-7966-2015; Capodaglio, Gabriele/D-5295-2014; Barbante, Carlo/B-3195-2011; Traversi, Rita/M-7586-2015</t>
  </si>
  <si>
    <t>Udisti, Roberto/0000-0003-4440-8238; Capodaglio, Gabriele/0000-0002-3689-4865; Barbante, Carlo/0000-0003-4177-2288; Becagli, Silvia/0000-0003-3633-4849; Traversi, Rita/0000-0002-9790-2195</t>
  </si>
  <si>
    <t>10.3189/172756499781821265</t>
  </si>
  <si>
    <t>WOS:000086691400020</t>
  </si>
  <si>
    <t>Han, JK; Xie, ZC; Dai, FN; Zhang, WC</t>
  </si>
  <si>
    <t>Volcanic eruptions recorded in an ice core from Collins Ice Cap, King George Island, Antarctica</t>
  </si>
  <si>
    <t>ACIDITY; SHEET</t>
  </si>
  <si>
    <t>Careful mineral and structural analyses have revealed the characteristics of volcanic ash in the nine horizons of an 80.2 m ice core from Collins Ice Cap, King George Island, Antarctica. Under the assumption of steady state, the Dansgaard-Johnsen flow model was employed to date the core. The volcanic eruptive sequence established for the South Shetland Islands region since AD 1650 shows seven volcanic eruptive cycles during the past 340 years covered by the ice core. It seems that during the period 1875-1925 there was frequent volcanic activity, with perhaps many eruptions at Deception Island. The years 1650-1800 appear to have been a quiet period, followed by a more turbulent century. The past century is basically a tranquil era except for two turbulent epochs at the beginning of the century and in the 1950s-70s. Many of the volcanic eruptions in the ice-core sequence are found in the previously reported records for this region. The few that are not in the records should be further investigated. The absence of any 1967-70 eruption trace in the core suggests that this period may represent a minimum in volcanic activity.</t>
  </si>
  <si>
    <t>Hunan Normal Univ, Changsha 410081, Hunan, Peoples R China; Chinese Acad Sci, Desert Res Inst, Lanzhou 730000, Gansu, Peoples R China; Chinese Acad Sci, Lanzhou Inst Glaciol &amp; Geocryol, Lanzhou 730000, Gansu, Peoples R China</t>
  </si>
  <si>
    <t>Hunan Normal University; Chinese Academy of Sciences; Chinese Academy of Sciences</t>
  </si>
  <si>
    <t>Han, JK (corresponding author), Hunan Normal Univ, Changsha 410081, Hunan, Peoples R China.</t>
  </si>
  <si>
    <t>WOS:000086691400021</t>
  </si>
  <si>
    <t>Fujii, Y; Kohno, M; Motoyama, H; Matoba, S; Watanabe, O; Fujita, S; Azuma, N; Kikuchi, T; Fukuoka, T; Suzuki, T</t>
  </si>
  <si>
    <t>Tephra layers in the Dome Fuji (Antarctica) deep ice core</t>
  </si>
  <si>
    <t>EXPLOSIVE VOLCANISM; SOUTH-POLE; SHEET; RECORD</t>
  </si>
  <si>
    <t>A deep ice core drilled to 2503 m depth at Dome Fuji, Antarctica, contains 25 visible tephra layers during the past 340 ka. The thickness of tephra layers is in the range 1-24 mm. The thickness and duration at deposition, determined by a simple ice-flow model, suggests that a violent volcanic eruption caused ash to fall onto the Antarctic ice sheet for similar to 5 years and to form a similar to 100 mm thick tephra layer at 117 ka sp. Two tephra layers at depths of 573 and 2202 m probably originated from volcanoes in the South Sandwich Islands, Southern Ocean, given the size of tephra shards, &gt;20 mu m in diameter, and their major chemical composition. Only eight of the 25 tephra layers call also be recognized in the Vostok (Antarctica) ice core, but all correspond to the Vostok tephras if we consider cloudy bands to be volcanic.</t>
  </si>
  <si>
    <t>Natl Inst Polar Res, Itabashi Ku, Tokyo 1738515, Japan; Hokkaido Univ, Dept Appl Phys, Sapporo, Hokkaido 0608628, Japan; Natl Nagaoka Coll Technol, Niigata 9400817, Japan; Sci Univ Tokyo, Yamaguchi 7560884, Japan; Rissho Univ, Fac Geoenvironm Sci, Kumagaya, Saitama 3600194, Japan; Yamagata Univ, Fac Sci, Yamagata 9900021, Japan</t>
  </si>
  <si>
    <t>Research Organization of Information &amp; Systems (ROIS); National Institute of Polar Research (NIPR) - Japan; Hokkaido University; Tokyo University of Science; Yamagata University</t>
  </si>
  <si>
    <t>Fujii, Y (corresponding author), Natl Inst Polar Res, Itabashi Ku, Tokyo 1738515, Japan.</t>
  </si>
  <si>
    <t>Matoba, Sumito/A-4073-2012; Fujita, Shuji/A-7884-2016</t>
  </si>
  <si>
    <t>Matoba, Sumito/0000-0003-2214-4649; Fujita, Shuji/0000-0003-0127-0777</t>
  </si>
  <si>
    <t>10.3189/172756499781821003</t>
  </si>
  <si>
    <t>WOS:000086691400022</t>
  </si>
  <si>
    <t>Guglielmin, M; Dramis, F</t>
  </si>
  <si>
    <t>Permafrost as a climatic indicator in northern Victoria Land, Antarctica</t>
  </si>
  <si>
    <t>Knowledge of permafrost characteristics and distribution in Antarctica and their relationships with present and past climates is still poor. This paper reports investigations on permafrost in an area located between Nansen Ice Sheet to the south and Mount Melbourne (2732 m a.s.l.) to the north. Investigation methods included geomorphological surveys and geoelectrical soundings as well as crystallographic, chemical and isotopic analyses of the ground ice. Geomorphological surveys helped to explain the relationships between periglacial landforms (e.g rock glaciers and patterned ground) and the glacial history of the area. Geoelectrical soundings allowed us to define different ground-ice units in the ice-free areas. Each unit was characterised by a different type of permafrost (dry or ice-poor permafrost, marine or continental massive buried ice and subsea permafrost). To identify the nature of ground ice, trenches were dug and some shallow boreholes were drilled to a maximum depth of -3.6 m in massive buried ice. Samples of both ice-poor permafrost and massive ice were collected and analyzed. Chemical, isotopic (delta(18)O) and crystal analyses were also carried out. The relationships between climate and thermal regimes of the active layer and the upper part of permafrost were determined using a monitoring station for ground temperatures at Boulder Clay Glacier, near the Italian Antarctic station. During winter, there were several significant thermal-inversion events in the ground, which cannot be explained only by air-temperature changes, suggesting a possible influence of winter snowfall, even if these events are usually considered very rare.</t>
  </si>
  <si>
    <t>PRNA, I-20035 Milan, Italy; Third Univ Rome, Dept Geol Sci, I-00146 Rome, Italy</t>
  </si>
  <si>
    <t>Guglielmin, M (corresponding author), PRNA, Via Matteotti 22, I-20035 Milan, Italy.</t>
  </si>
  <si>
    <t>Dramis, Francesco/A-8519-2010</t>
  </si>
  <si>
    <t>10.3189/172756499781821111</t>
  </si>
  <si>
    <t>WOS:000086691400023</t>
  </si>
  <si>
    <t>Wang, NL; Yao, TD; Qin, DH; Thompson, LG; Mosley-Thompson, E; Cole-Dai, J; Davis, ME; Lin, PN</t>
  </si>
  <si>
    <t>New evidence for enhanced cosmogenic isotope production rate in the atmosphere ∼37 ka BP</t>
  </si>
  <si>
    <t>GULIYA ICE CORE; SOLAR-ACTIVITY; BE-10 DEPOSITION; CLIMATE; CYCLE; GREENLAND; PLATEAU; RECORD; SUMMIT; SUN</t>
  </si>
  <si>
    <t>A Cl-36 peak has been found at about 37 ka np in the Guliya ice core, drilled from the Qinghai-Tibetan Plateau. This peak is indicative of enhanced cosmogenic isotope production in the atmosphere, rather than a change in accumulation rate. Comparison with the records of Be-10 and Cl-36 in ice cores from Antarctica and Greenland indicates that peaks of the cosmogenic isotopes are global, and that they can be used as time markers for dating ice cores. Interestingly, the 37 ka sp global event coincided with a cold period.</t>
  </si>
  <si>
    <t>Chinese Acad Sci, Lanzhou Inst Glaciol &amp; Geocryol, Lab Ice Core &amp; Cold Reg Environm, Lanzhou 730000, Gansu, Peoples R China; Ohio State Univ, Byrd Polar Res Ctr, Columbus, OH 43210 USA</t>
  </si>
  <si>
    <t>Chinese Academy of Sciences; University System of Ohio; Ohio State University</t>
  </si>
  <si>
    <t>WOS:000086691400024</t>
  </si>
  <si>
    <t>van Ommen, TD; Morgan, VI; Jacka, TH; Woon, S; Elcheikh, A</t>
  </si>
  <si>
    <t>Near-surface temperatures in the Dome Summit South (Law Dome, East Antarctica) borehole</t>
  </si>
  <si>
    <t>ICE-SHEET; SEASONALITY; CLIMATE</t>
  </si>
  <si>
    <t>Firn temperatures at the Dome Summit South drill site, East Antarctica, are simulated by driving a thermal model of the ice sheet with observed instrumental records over the period 1960-96. The model incorporates firn density and thermal properties to reproduce measured borehole temperatures as shallow as 5 m below the surface, where the seasonal temperature wave is readily apparent. The study shows that ice-sheet temperatures are approximately 0.8 degrees C cooler than mean 4 m air temperatures. It also finds that non-conductive processes such as Ventilation and radiation can be simulated at this site by assuming perfect thermal contact between the top similar to 1 m of firn and the atmosphere on monthly time-scales.</t>
  </si>
  <si>
    <t>van Ommen, TD (corresponding author), Antarctic CRC, Box 252-80, Hobart, Tas 7001, Australia.</t>
  </si>
  <si>
    <t>van Ommen, Tas/B-5020-2012</t>
  </si>
  <si>
    <t>van Ommen, Tas/0000-0002-2463-1718</t>
  </si>
  <si>
    <t>10.3189/172756499781821382</t>
  </si>
  <si>
    <t>WOS:000086691400025</t>
  </si>
  <si>
    <t>DahlJensen, D; Morgan, VI; Elcheikh, A</t>
  </si>
  <si>
    <t>Monte Carlo inverse modelling of the Law Dome (Antarctica) temperature profile</t>
  </si>
  <si>
    <t>ICE CORE; GREENLAND; ISOTOPE; ACCUMULATION; RECORD; SHEET</t>
  </si>
  <si>
    <t>The temperature profile in the 1200 m deep Dome Summit South (DSS) borehole near the summit of Law Dome, Antarctica, was measured in 1996, 3 years after the termination of the deep drilling. The temperature profile contains information on past surface temperature over the last 4 ka. This temperature history is determined by the use of a Monte Carlo inverse method in which no constraints are placed on the unknown temperature history and no solution is assumed to be unique. The temperature history is obtained from a selection of equally well-fitting solutions by a statistical treatment. The results show that solutions covering the last 4 ka have a well-developed central value, a most likely temperature history. The temperature record has two well-developed minima at: AD 1250 and 1850. From 1850 to the present, temperatures have gradually increased by 0.7 K. The reconstructed temperatures are compared with the stable oxygen isotope (delta(18)O) from the DSS ice core.</t>
  </si>
  <si>
    <t>Univ Copenhagen, Neils Bohr Inst Astron Phys &amp; Geophys, DK-2100 Copenhagen, Denmark; Antarctic CRC, Hobart, Tas 7001, Australia; Australian Antarctic Div, Hobart, Tas 7001, Australia</t>
  </si>
  <si>
    <t>University of Copenhagen; Australian Antarctic Division</t>
  </si>
  <si>
    <t>DahlJensen, D (corresponding author), Univ Copenhagen, Neils Bohr Inst Astron Phys &amp; Geophys, DK-2100 Copenhagen, Denmark.</t>
  </si>
  <si>
    <t>Dahl-Jensen, Dorthe/AAO-6951-2020</t>
  </si>
  <si>
    <t>Dahl-Jensen, Dorthe/0000-0002-1474-1948</t>
  </si>
  <si>
    <t>10.3189/172756499781821102</t>
  </si>
  <si>
    <t>WOS:000086691400026</t>
  </si>
  <si>
    <t>Festa, C; Rossi, A</t>
  </si>
  <si>
    <t>Apparatus for routine measurements of the thermal conductivity of ice cores</t>
  </si>
  <si>
    <t>An apparatus is described for measuring the thermal conductivity of ice by the transient hot-wire method. Thermal conductivity, lambda, is determined by tracking the thermal pulse induced in the sample by a heating source consisting of a platinum resistor. A central segment of the same platinum heating resistor acts also as a thermal sensor. A heat pulse transferred to the ice for a period of 40 s gives a maximum temperature increment of about 7-14 degrees C. In good experimental conditions, the expected reproducibility of the measurements is within +/-3%. The accuracy of the method depends on whether the instrument has been calibrated by reliable standard samples, certified by absolute methods.</t>
  </si>
  <si>
    <t>Univ Pisa, Dept Chem, I-56126 Pisa, Italy; CNR, Int Inst Geothermal Res, I-56126 Pisa, Italy</t>
  </si>
  <si>
    <t>University of Pisa; Consiglio Nazionale delle Ricerche (CNR)</t>
  </si>
  <si>
    <t>Festa, C (corresponding author), Univ Pisa, Dept Chem, Via Risorgimento, I-56126 Pisa, Italy.</t>
  </si>
  <si>
    <t>10.3189/172756499781821210</t>
  </si>
  <si>
    <t>WOS:000086691400027</t>
  </si>
  <si>
    <t>Yun, W; Azuma, N</t>
  </si>
  <si>
    <t>A new automatic ice-fabric analyzer which uses image-analysis techniques</t>
  </si>
  <si>
    <t>An automatic ice-fabric analyzer has been developed, which can determine individual c-axis orientations by image-analysis techniques. The analyzer consists of four major components: a sample stage, a pair of crossed polaroids, a charge coupled device (CCD) camera and a light source. Both the sample stage and the crossed polaroids can be rotated independently of each other by the stepping motors controlled by a personal computer (PC). Measurements are conducted as follows. An ice thin section is set on the sample stage and then the crossed polaroids are rotated. Thin-section images are recorded by the PC at intervals of 2 degrees of rotation. From the image-intensity (gray value) dataset of each crystal in the thin section the extinction angles of individual crystals can be determined. Similarly, eight other extinction angles of individual crystals are obtained from eight other CCD camera positions with respect to the thin section. Finally the c-axis orientation of individual crystals is calculated by using these extinction angles. With this technique, all crystals within the view of the CCD camera can be analyzed at the same time. In addition, with image-processing techniques the individual crystals are recognized automatically and other parameters, such as grain-size and grain shape, can be measured simultaneously. Textural studies of Dome Fuji (Antarctica) ice cores have been conducted with this analyzer.</t>
  </si>
  <si>
    <t>Nagaoka Univ Technol, Niigata 9402188, Japan</t>
  </si>
  <si>
    <t>Nagaoka University of Technology</t>
  </si>
  <si>
    <t>Yun, W (corresponding author), Nagaoka Univ Technol, Kamitomioka Machi 1603-1, Niigata 9402188, Japan.</t>
  </si>
  <si>
    <t>10.3189/172756499781821021</t>
  </si>
  <si>
    <t>WOS:000086691400028</t>
  </si>
  <si>
    <t>Azuma, N; Wang, Y; Mori, K; Narita, H; Hondoh, T; Shoji, H; Watanabe, O</t>
  </si>
  <si>
    <t>Textures and fabrics in the Dome F (Antarctica) ice core</t>
  </si>
  <si>
    <t>FLOW-LAW; AGE ICE; SHEET; GREENLAND; STATION</t>
  </si>
  <si>
    <t>A comprehensive study of ice-crystal fabrics and textures was conducted on the Dome F (Antarctica) ice core. Crystal c-axis orientations, crystal sizes and crystal shape were measured on thin sections with an automatic ice-fabric analyzer. The general feature of textural and fabric development through a 2500 m long core was obtained by a 20 m interval study. Crystal size steadily increases with depth except for depths of about 500, 1800, 2000, 2200 and 2300 m, at which depths crystal size decreases suddenly. There is a clear correlation between crystal-size and delta(18)O values. Crystals tend to elongate horizontally with depth, and the aspect ratio (long axis vs short axis of a grain) increases twofold at 1600 m depth and fluctuates below that depth. The c-axis orientation fabrics gradually change with depth from a random orientation pattern near the surface to a strong vertical single maximum at 2500 m. These are very similar to those from the GRIP (Greenland) core. The observations of crystal shape and the fabric measurements indicate that nucleation-recrystallization does not take place at Dome F.</t>
  </si>
  <si>
    <t>Nagaoka Univ Technol, Nagaoka, Niigata 9402137, Japan; Hokkaido Univ, Inst Low Temp Sci, Sapporo, Hokkaido 0600819, Japan; Kitami Inst Technol, Kitami, Hokkaido 0900015, Japan; Natl Inst Polar Res, Tokyo 1730003, Japan</t>
  </si>
  <si>
    <t>Nagaoka University of Technology; Hokkaido University; Kitami Institute of Technology; Research Organization of Information &amp; Systems (ROIS); National Institute of Polar Research (NIPR) - Japan</t>
  </si>
  <si>
    <t>Azuma, N (corresponding author), Nagaoka Univ Technol, Nagaoka, Niigata 9402137, Japan.</t>
  </si>
  <si>
    <t>HONDOH, Takeo/E-7551-2011</t>
  </si>
  <si>
    <t>HONDOH, Takeo/0000-0003-4129-022X</t>
  </si>
  <si>
    <t>10.3189/172756499781821148</t>
  </si>
  <si>
    <t>WOS:000086691400029</t>
  </si>
  <si>
    <t>Jun, L; Jacka, TH</t>
  </si>
  <si>
    <t>Crystal-growth rates in firn and shallow ice at high-accumulation sites</t>
  </si>
  <si>
    <t>GRAIN-GROWTH; LAW DOME; SIZE; ANTARCTICA</t>
  </si>
  <si>
    <t>Crystal growth in firn and shallow ice is studied by examining crystal size and c-axis orientation fabrics in two ice cores drilled at sites Dome Summit South and DE08, near the summit of law Dome, East Antarctica. The snow-accumulation rates at the core sites are particularly high (640 and 1160 kg m(-2) a(-1), respectively) compared to other Antarctic sites. Crystal-growth rates above the firn/ice transition depth (at 70-80 m) are found to be in agreement with the generally used growth-rate-temperature relation (Stephenson, 1967; Gow, 1969), sometimes referred to as normal grain growth. In the shallow ice layers below this depth and down to about 300 m, the observed crystal-growth rates are enhanced compared to normal grain growth. Also in this shallow ice, crystal c-axis orientation measurements show development of anisotropic fabrics indicative of ice flow at strains well above 1%. In earlier work, Jacka and Li (1994) described the development in clean ice of steady-state ice-crystal size (inversely proportional to the stress and largely independent of temperature) during the onset of flow-related crystal anisotropy, i.e. dynamic recrystallisation. It is concluded here that as a consequence of the high accumulation rates, relatively high deformation rates are generated in the shallow ice. The deformation rates are sufficiently high that dynamic recrystallisation takes over from normal crystal growth as the dominant crystal-growth mechanism. This leads to a rapid increase in crystal size from the slow-growing small firn crystals towards the larger size appropriate to the stress.</t>
  </si>
  <si>
    <t>10.3189/172756499781821508</t>
  </si>
  <si>
    <t>WOS:000086691400030</t>
  </si>
  <si>
    <t>Watanabe, O; Kamiyama, K; Motoyama, H; Fujii, Y; Shoji, H; Satow, K</t>
  </si>
  <si>
    <t>The paleoclimate record in the ice core at Dome Fuji station, East Antarctica</t>
  </si>
  <si>
    <t>The Antarctic ice sheet preserves paleoclimate information in the form of physical and chemical stratigraphy. A deep ice core down to 2503 m depth was drilled at Dome Fuji station, East Antarctica, during the 1993-96 Japanese Antarctic Research Expedition inland operations. Oxygen isotope measurements were conducted on 50 cm long samples selected from the entire core length. A paleo-temperature profile was obtained for the past 340 ka by assuming the same conversion factors for the past relation as exist today between isotope ratio and both surface temperature and accumulation rate, in the inland region of Dronning Maud Land. The environmental-index profiles such as major chemical and dust contents coincide quite well with Vostok ice-core data in general but, not in detail. Detailed analysis of these climatic and environmental signals is in progress.</t>
  </si>
  <si>
    <t>Natl Inst Polar Res, Itabashi Ku, Tokyo 1738515, Japan; Kitami Inst Technol, Kitami, Hokkaido 0908507, Japan; Natl Nagaoka Coll Technol, Nagaoka, Niigata 9400817, Japan</t>
  </si>
  <si>
    <t>Research Organization of Information &amp; Systems (ROIS); National Institute of Polar Research (NIPR) - Japan; Kitami Institute of Technology</t>
  </si>
  <si>
    <t>Watanabe, O (corresponding author), Natl Inst Polar Res, Itabashi Ku, Tokyo 1738515, Japan.</t>
  </si>
  <si>
    <t>10.3189/172756499781821553</t>
  </si>
  <si>
    <t>WOS:000086691400031</t>
  </si>
  <si>
    <t>Miyamoto, A; Narita, H; Hondoh, T; Shoji, H; Kawada, K; Watanabe, O; DahlJensen, D; Gundestrup, NS; Clausen, HB; Duval, P</t>
  </si>
  <si>
    <t>Ice-sheet flow conditions deduced from mechanical tests of ice core</t>
  </si>
  <si>
    <t>CENTRAL GREENLAND; GRIP; DEFORMATION; RECORD</t>
  </si>
  <si>
    <t>Uniaxial compression tests were performed on samples of the Greenland Ice Core Project (GRIP) deep ice core, both in the field and later in a cold-room laboratory, in order to understand the ice-flow behavior of large ice sheets. Experiments were conducted under conditions of constant strain rate (type A) and constant load (type B). Fifty-four uniaxial-compression test specimens from 1327-2922 m were selected. Each test specimen (25 mm x 25 mm x 90 mm) was prepared with its uniaxial stress axis inclined 45 degrees from the core axis in order to examine the flow behavior of strong single-maximum ice-core samples with basal planes parallel to the horizontal plane of the ice sheet. The ice-flow enhancement factors show a gradual increase with depth down to approximately 2000 m. These results can be interpreted in terms of an increase in the fourth-order Schmid factor. Below 2000 m depth, the now-enhancement factor increases to about 20-30 with a relatively high variability. When the Schmid factor was &gt; 0.46, the enhancement factor obtained was higher than expected from the c-axis concentrations measured. The higher values of flow-enhancement factor were obtained from specimens with a cloudy band structure. It was revealed that cloudy bands affect ice-deformation processes, but the details remain unclear.</t>
  </si>
  <si>
    <t>Hokkaido Univ, Inst Low Temp Sci, Sapporo, Hokkaido 0600819, Japan; Kitami Inst Technol, Kitami, Hokkaido 0908507, Japan; Toyama Univ, Fac Sci, Toyama 9308555, Japan; Natl Inst Polar Res, Tokyo 1738515, Japan; Univ Copenhagen, Dept Geophys, Niels Bohr Inst, DK-2200 Copenhagen, Denmark; CNRS, Lab Glaciol &amp; Geophys Environm, F-38402 St Martin Dheres, France</t>
  </si>
  <si>
    <t>Hokkaido University; Kitami Institute of Technology; University of Toyama; Research Organization of Information &amp; Systems (ROIS); National Institute of Polar Research (NIPR) - Japan; University of Copenhagen; Niels Bohr Institute; Centre National de la Recherche Scientifique (CNRS)</t>
  </si>
  <si>
    <t>Miyamoto, A (corresponding author), Hokkaido Univ, Inst Low Temp Sci, Sapporo, Hokkaido 0600819, Japan.</t>
  </si>
  <si>
    <t>Clausen, Helene/AAU-8786-2020; Dahl-Jensen, Dorthe/AAO-6951-2020; HONDOH, Takeo/E-7551-2011</t>
  </si>
  <si>
    <t>Dahl-Jensen, Dorthe/0000-0002-1474-1948; HONDOH, Takeo/0000-0003-4129-022X</t>
  </si>
  <si>
    <t>10.3189/172756499781820950</t>
  </si>
  <si>
    <t>WOS:000086691400032</t>
  </si>
  <si>
    <t>Wang, WL; Warner, RC</t>
  </si>
  <si>
    <t>Modelling of anisotropic ice flow in Law Dome, East Antarctica</t>
  </si>
  <si>
    <t>SHEET; RHEOLOGY; SOUTH</t>
  </si>
  <si>
    <t>A model for ice flow in a polar ice sheet is presented. It is based on laboratory measurements of ice rheology, and includes the effect of anisotropic-now enhancement in tertiary creep as the ice progresses through a range of stress regimes as it passes through the ice sheet. This flow model is applied to the transect: from the summit of Law Dome, East Antarctica? to Cape Folger. In the upper layers of the ice sheet good agreement is found between the shear strain-rate profiles from the model and borehole-inclination measurements. Modifications of the simple model predictions for high shear strain rates in the lower layers of the ice cap are required in order to match the observed surface velocities. In these lower regions reductions in both the enhancement of shear flow and shear stress appear to be required, and this suggests that more attention needs to be given to the dynamics deep within ice sheets.</t>
  </si>
  <si>
    <t>Wang, WL (corresponding author), Antarctic CRC, Box 252-80, Hobart, Tas 7001, Australia.</t>
  </si>
  <si>
    <t>10.3189/172756499781820932</t>
  </si>
  <si>
    <t>WOS:000086691400033</t>
  </si>
  <si>
    <t>Salamatin, AN; Lipenkov, VY; Hondoh, T; Ikeda, T</t>
  </si>
  <si>
    <t>Simulated features of the air-hydrate formation process in the Antarctic ice sheet at Vostok</t>
  </si>
  <si>
    <t>CORE; GREENLAND; TEMPERATURE; CRYSTALS; DENSIFICATION; DIFFUSION; NITROGEN; PRESSURE; BUBBLES; STATION</t>
  </si>
  <si>
    <t>A recently developed theory of post-nucleation conversion of an air bubble to air-hydrate crystal in ice is applied to simulate two different types of air-hydrate formation in polar ice sheets. The work is focused on interpretation of the Vostok (Antarctica) ice-core data. The hydrostatic compression of bubbles is the rate-limiting step of the phase transformation which is additionally influenced by selective diffusion of the gas components from neighboring air bubbles. The latter process leads to the gas fractionation resulting in lower (higher) N-2/O-2 ratios in air hydrates (coexisting bubbles) with respect to atmospheric air. The typical time of the post-nucleation conversion decreases at Vostok from 1300-200 a at the beginning to 50-3 a at the end of the transition zone. The model of the diffusive transport of the air constituents from air bubbles to hydrate crystals is constrained by the data of Raman spectra measurements. The oxygen and nitrogen self-diffusion (permeation) coefficients in ice are determined at 220 K as 4.5 x 10(-8) and 9.5 x 10(-8) mm(2) a(-1), respectively, while the activation energy is estimated to be about 50 kJ mol(-1). The gas-fractionation time-scale at Vostok, tau(F) similar to 300 a, appears to be two orders of magnitude less than the typical time of the air-hydrate nucleation, tau(Z) similar to 30-35 ka, and thus the condition for the extreme gas fractionation, tau(F) much less than tau(Z) is satisfied. Application of the theory to the GRIP and GISP2 ice cores shows that, on average, a significant gas fractionation cannot be expected for air hydrates in central Greenland. However, a noticeable (statistically valid) nitrogen enrichment might be observed in the last air bubbles at the end of the transition.</t>
  </si>
  <si>
    <t>Kazan State Univ, Dept Math Appl, Kazan 420008, Russia; Arctic &amp; Antarctic Res Inst, St Petersburg 199397, Russia; Hokkaido Univ, Inst Low Temp Sci, Sapporo, Hokkaido 060, Japan; Hokkaido Univ, Dept Appl Phys, Sapporo, Hokkaido 060, Japan</t>
  </si>
  <si>
    <t>Kazan Federal University; Arctic &amp; Antarctic Research Institute; Hokkaido University; Hokkaido University</t>
  </si>
  <si>
    <t>Salamatin, AN (corresponding author), Kazan State Univ, Dept Math Appl, Kazan 420008, Russia.</t>
  </si>
  <si>
    <t>Lipenkov, Vladimir/Q-8262-2016; HONDOH, Takeo/E-7551-2011; Salamatin, Andrey/A-9831-2016</t>
  </si>
  <si>
    <t>Lipenkov, Vladimir/0000-0003-4221-5440; HONDOH, Takeo/0000-0003-4129-022X; Salamatin, Andrey/0000-0002-5988-6024</t>
  </si>
  <si>
    <t>10.3189/172756499781821571</t>
  </si>
  <si>
    <t>WOS:000086691400034</t>
  </si>
  <si>
    <t>Macheret, YY; Moskalevsky, MY</t>
  </si>
  <si>
    <t>Study of Lange Glacier on King George Island, Antarctica</t>
  </si>
  <si>
    <t>The results of ground-based radio-echo sounding collected in 1995 and 1996-97 in the drainage basin of Lange Glacier, a tidewater outlet glacier on King George Island, Antarctica, are presented and discussed. Ice-thickness and bedrock-elevation maps, constructed for the upper non-crevassed part of the glacier, show a close relation between its surface and subglacial topography and indicate the main directions of ice runoff from this area where the ice thickness reaches 308 m. A retreat of the glacier front by 1 km since 1956 occurred against a background of climate warming by 1.4 degrees C on the South Shetland Islands during the last five decades, while a neighboring unnamed glacier advanced by 0.6 km and the northern ice-cap margin on King George Island was approximately stationary. To understand the reasons for the different responses of these ice masses to current climate warming in this region of West Antarctica, further studies including mass-balance and ice-velocity observations and numerical modeling are needed.</t>
  </si>
  <si>
    <t>Russian Acad Sci, Inst Geog, Moscow 109017, Russia</t>
  </si>
  <si>
    <t>Russian Academy of Sciences; Institute of Geography, Russian Academy of Sciences</t>
  </si>
  <si>
    <t>Macheret, YY (corresponding author), Russian Acad Sci, Inst Geog, 29 Staromonetny St, Moscow 109017, Russia.</t>
  </si>
  <si>
    <t>Yury, Macheret/AAG-7696-2021</t>
  </si>
  <si>
    <t>Macheret, Yuri/0000-0001-5687-5381</t>
  </si>
  <si>
    <t>10.3189/172756499781820941</t>
  </si>
  <si>
    <t>WOS:000086691400035</t>
  </si>
  <si>
    <t>Narita, H; Azuma, N; Hondoh, T; Fujii, M; Kawaguchi, M; Mae, SJ; Shoji, H; Kameda, T; Watanabe, O</t>
  </si>
  <si>
    <t>Characteristics of air bubbles and hydrates in the Dome Fuji ice core, Antarctica</t>
  </si>
  <si>
    <t>VOSTOK STATION</t>
  </si>
  <si>
    <t>Air bubbles trapped near the surface of an ice sheet are transformed into air hydrates below a certain depth. Their volume and number varies partly with environment and climate. Air bubbles and hydrates at 120-2200 m depth in the Dome Fuji (Dome F) ice core were examined with a microscope. This depth range covers the Holocene/Last Glacial/Last Interglacial/Previous Glacial periods. No air bubbles were seen below about 1100 m depth, and air hydrates began to appear from about 600 m. The observed number of air bubbles and hydrates was similar to that found in the Vostok ice core. For the ice covering the Last Glacial Maximum period, however the hydrate concentration in the Dome F core is about half that of the Vostok core. Reference to snow metamorphism and packing does not explain this finding.</t>
  </si>
  <si>
    <t>Hokkaido Univ, Inst Low Temp Sci, Sapporo, Hokkaido 060819, Japan; Nagaoka Univ Technol, Nagaoka, Niigata 9402137, Japan; Hokkaido Univ, Dept Engn, Sapporo, Hokkaido 0050004, Japan; Kitami Inst Technol, Kitami, Hokkaido 0900015, Japan; Natl Inst Polar Res, Itabashi Ku, Tokyo 1730015, Japan</t>
  </si>
  <si>
    <t>Hokkaido University; Nagaoka University of Technology; Hokkaido University; Kitami Institute of Technology; Research Organization of Information &amp; Systems (ROIS); National Institute of Polar Research (NIPR) - Japan</t>
  </si>
  <si>
    <t>Narita, H (corresponding author), Hokkaido Univ, Inst Low Temp Sci, Sapporo, Hokkaido 060819, Japan.</t>
  </si>
  <si>
    <t>; HONDOH, Takeo/E-7551-2011</t>
  </si>
  <si>
    <t>Kameda, Takao/0000-0001-6317-4399; HONDOH, Takeo/0000-0003-4129-022X</t>
  </si>
  <si>
    <t>10.3189/172756499781821300</t>
  </si>
  <si>
    <t>WOS:000086691400036</t>
  </si>
  <si>
    <t>Hori, A; Tayuki, K; Narita, H; Hondoh, T; Fujita, S; Kameda, T; Shoji, H; Azuma, N; Kamiyama, K; Fujii, Y; Motoyama, H; Watanabe, O</t>
  </si>
  <si>
    <t>A detailed density profile of the Dome Fuji (Antarctica) shallow ice core by X-ray transmission method</t>
  </si>
  <si>
    <t>POLAR FIRN; DENSIFICATION; MODEL</t>
  </si>
  <si>
    <t>An X-ray transmission method has been developed to obtain a continuous profile of bulk densities of ice cores. Intensities of X-rays transmitted through an ice-core sample were continuously measured by an X-ray detector during translation of the sample across the X-ray beam. A thick section of an ice core with a constant thickness was prepared by band-sawing followed by microtome planing. The X-ray intensity profile obtained was converted to a density profile using a calibration curve for X-ray absorption vs ice thickness. Using this method, spatial resolution of the density profile was down to 1 mm. X-ray radiographs were also taken on a two-dimensional detector imaging plate, in order to observe layer structures of the ice cores. The method was applied to Dome Fuji (Antarctica) ice cores from the surface to 110 m depth. From the density profile obtained, we calculated the power spectrum of the density variation by the discrete Fourier transform, and obtained several peaks at different frequencies. The center period in the spectrum was close to the annual accumulation thickness at the drill site.</t>
  </si>
  <si>
    <t>Hokkaido Univ, Inst Low Temp Sci, Sapporo, Hokkaido 0600819, Japan; Hokkaido Univ, Dept Appl Phys, Sapporo, Hokkaido 0608626, Japan; Kitami Inst Technol, Kitami, Hokkaido 0908507, Japan; Nagaoka Univ Technol, Dept Mech Engn, Nagaoka, Niigata 9402188, Japan; Natl Inst Polar Res, Itabashi Ku, Tokyo 1738515, Japan</t>
  </si>
  <si>
    <t>Hokkaido University; Hokkaido University; Kitami Institute of Technology; Nagaoka University of Technology; Research Organization of Information &amp; Systems (ROIS); National Institute of Polar Research (NIPR) - Japan</t>
  </si>
  <si>
    <t>Hori, A (corresponding author), Hokkaido Univ, Inst Low Temp Sci, Sapporo, Hokkaido 0600819, Japan.</t>
  </si>
  <si>
    <t>; Fujita, Shuji/A-7884-2016; HONDOH, Takeo/E-7551-2011</t>
  </si>
  <si>
    <t>Kameda, Takao/0000-0001-6317-4399; Fujita, Shuji/0000-0003-0127-0777; HONDOH, Takeo/0000-0003-4129-022X</t>
  </si>
  <si>
    <t>10.3189/172756499781821157</t>
  </si>
  <si>
    <t>WOS:000086691400037</t>
  </si>
  <si>
    <t>Gerland, S; Oerter, H; Kippstuhl, J; Wilhelms, F; Miller, H; Miners, WD</t>
  </si>
  <si>
    <t>Density log of a 181 m long ice core from Berkner Island, Antarctica</t>
  </si>
  <si>
    <t>A 181 m long ice core was drilled at 79 degrees 36'51  S, 45 degrees 43'28  W: near the summit of Berkner Island, Antarctica (886 m a.s.l.). Berkner Island is located between the Filchner and Ronne Ice Shelves, and the ice near the summit shows little lateral flow The density of the ice core was measured every 3 mm along its length, using attenuation of a gamma-ray beam, which gave an absolute accuracy of 2%. As expected, there is a general density increase with depth, the maximum densities of &gt;900 kg m(-3) being reached just above 100 m depth. Comparison with the electrical conductivity method (ECM) shows density variations with the same wavelength as the annual signals, which can be seen in the ECM log (higher acidity during summer). In the shallowest part of the core, the density of winter layers is higher than that of summer layers, a relationship which is reversed at greater depth. We assume that the densification rates for the two types of firn are different. Similar density phenomena were observed on ice cores from Greenland, showing that such phenomena are not a local effect.</t>
  </si>
  <si>
    <t>Alfred Wegener Inst Polar &amp; Marine Res, D-27515 Bremerhaven, Germany; British Antarctic Survey, NERC, Cambridge CB3 0ET, England</t>
  </si>
  <si>
    <t>Alfred Wegener Inst Polar &amp; Marine Res, POB 120161, D-27515 Bremerhaven, Germany.</t>
  </si>
  <si>
    <t>Wilhelms, Frank/KEI-8426-2024</t>
  </si>
  <si>
    <t>Wilhelms, Frank/0000-0001-7688-3135; Miller, Heinrich/0000-0003-1015-2828</t>
  </si>
  <si>
    <t>10.3189/172756499781821427</t>
  </si>
  <si>
    <t>WOS:000086691400038</t>
  </si>
  <si>
    <t>Simoes, JC; Bremer, UF; Aquino, FE; Ferron, FA</t>
  </si>
  <si>
    <t>Morphology and variations of glacial drainage basins in the King George Island ice field, Antarctica</t>
  </si>
  <si>
    <t>A Systeme probatoire pour l'observation de la terre (SPOT) mosaic of King George Island, the largest (1250 km(2)) of the South Shetland Islands, West: Antarctica, shows its major morphological features. Three main ice domes and 70 glacier drainage basins, covering 92.7% of the King George Island area, strongly controlled by the subglacial morphology and drained by relatively fast-moving tidewater outlet glaciers, were delineated. A general retreat of ice fronts through four decades, more intensely on the eastern side of the island (to the Bransfield Strait), resulted in the loss of about 7% of the glacial cover area. Superficial snow facies were derived from SPOT multispectral imagery and, together with field observations, allowed the transient-snowline elevation to be obtained. The latter is estimated to have risen from about 200-250 m in the mid-1950s to 300-350 m by 1988. Spot radio-echo sounding surveys give an overview of the bedrock morphology.</t>
  </si>
  <si>
    <t>Univ Fed Rio Grande Sul, Dept Geog, Inst Geociencias, Lab Pesquisas Antarticas &amp; Glaciol, BR-9500 Porto Alegre, RS, Brazil; Univ Fed Rio Grande Sul, CPG Sensoriamento Remoto, Ctr Estad Pesquisas Sensoriamento Remoto &amp; Meteor, BR-9500 Porto Alegre, RS, Brazil</t>
  </si>
  <si>
    <t>Universidade Federal do Rio Grande do Sul; Universidade Federal do Rio Grande do Sul</t>
  </si>
  <si>
    <t>Simoes, JC (corresponding author), Univ Fed Rio Grande Sul, Dept Geog, Inst Geociencias, Lab Pesquisas Antarticas &amp; Glaciol, Avenida Bento Goncalves 9500, BR-9500 Porto Alegre, RS, Brazil.</t>
  </si>
  <si>
    <t>Bremer, Ulisses F/D-3308-2013; Bremer, Ulisses Franz/AAT-8733-2021; Simoes, Jefferson Cardia/D-7232-2013</t>
  </si>
  <si>
    <t>Bremer, Ulisses Franz/0000-0003-0519-5807; Simoes, Jefferson Cardia/0000-0001-5555-3401</t>
  </si>
  <si>
    <t>10.3189/172756499781821085</t>
  </si>
  <si>
    <t>WOS:000086691400039</t>
  </si>
  <si>
    <t>Meneghel, M; Bondesan, A; Salvatore, MC; Orombelli, G</t>
  </si>
  <si>
    <t>A model of the glacial retreat of upper Rennick Glacier, Victoria Land, Antarctica</t>
  </si>
  <si>
    <t>The morphology of the Lichen Hills in the upper section of Rennick Glacier, Victoria Land, Antarctica, is summarised as follows: (a) a top surface an the volcanic rocks with scattered erratic blocks; (b) an exhumed Kukri Peneplain, sculptured with roches moutonnees with striae and crescentic gouges on which lie moraines and patches of drift of mainly volcanic rocks; (c) a granitic bedrock eroded by glaciers into sharp peaks and cirques, on top of which there is a glacial drift attributable to ancient blue-ice areas higher than those observed at present and which may be correlated with the Terra Nova drift (Late Wisconsin); (d) various Holocene ice-cored moraines that are pushed to the lee side of the nunataks and are often banded in strips of different lithology The bands of the Holocene moraines are related to the rock complexes that became exposed from the ice during the lowering of the surface of the glacier. Analysis of the lithology and pattern of the supraglacial debris, as well as of the blue-ice areas, allows us to construct a depositional model for the moraines, and to relate the glacial drift to blue-ice areas existing since the Last Glacial Maximum (LGM). The proposed model shows the different stages of recession of upper Rennick Glacier that are also valid for similar situations observed in northern Victoria Land. A surface lowering of upper Rennick Glacier of several hundred metres shows that significant changes have occurred at the Pacific edge of the East Antarctic ice sheet since the LGM.</t>
  </si>
  <si>
    <t>Univ Padua, Dipartimento Geog G Morandini, I-35123 Padua, Italy; Univ Roma La Sapienza, Dipartimento Sci Terra, I-00185 Rome, Italy; Univ Milan, Dipartimento Sci Ambiente &amp; Terr, I-20126 Milan, Italy</t>
  </si>
  <si>
    <t>University of Padua; Sapienza University Rome; University of Milan</t>
  </si>
  <si>
    <t>Meneghel, M (corresponding author), Univ Padua, Dipartimento Geog G Morandini, I-35123 Padua, Italy.</t>
  </si>
  <si>
    <t>Bondesan, Aldino/AGG-7434-2022; Salvatore, Maria Cristina/AAS-4000-2020</t>
  </si>
  <si>
    <t>Bondesan, Aldino/0000-0002-8721-652X; Salvatore, Maria Cristina/0000-0002-1590-7284</t>
  </si>
  <si>
    <t>10.3189/172756499781821463</t>
  </si>
  <si>
    <t>WOS:000086691400040</t>
  </si>
  <si>
    <t>Nixdorf, U; Steinhage, D; Meyer, U; Hempel, L; Jenett, M; Wachs, P; Miller, H</t>
  </si>
  <si>
    <t>The newly developed airborne radio-echo sounding system of the AWI as a glaciological tool</t>
  </si>
  <si>
    <t>ANTARCTIC ICE-SHEET; GREENLAND; CORES</t>
  </si>
  <si>
    <t>Since 1994 the Alfred Wegener Institute (AWI) has operated an airborne radio-echo sounding system for remote-sensing studies of the polar ice caps in Antarctica and in Greenland. It is used to map ice thicknesses and internal layerings of glaciers, ice sheets and ice shelves, and is capable of penetrating ice thicknesses of up to 4 km. The system was designed and built by AWI in cooperation with Aerodata Flugmess-technik GmbH, Technische Universitat Hamburg-Harburg and the Deutsches Zentrum fur Luft- und Raumfahrt e.V. The system uses state-of-the-art techniques, and results in high vertical (5 m) as well as along-track (3.25 m) resolution. The radar signal is a 150 MHz burst with a duration of 60 or 600 ns. The peak power is 1.6 kW, and the system sensitivity is 190 dB. The short backfire principle has been adopted and optimized for antennae used on Polar2, a Dornier 228-100 aircraft, resulting in an antenna gain of 14 dB each. Digital data recording allows further processing. The quality of the recorded data can be monitored on screen and as online analogue plots during the flight.</t>
  </si>
  <si>
    <t>Alfred Wegener Inst Polar &amp; Marine Res, D-27515 Bremerhaven, Germany; Tech Univ Hamburg, Arbeitsbereich Hochfrequenztech, D-27071 Hamburg, Germany; Aerodata Flugmesstech GMBH, D-38108 Braunschweig, Germany</t>
  </si>
  <si>
    <t>Helmholtz Association; Alfred Wegener Institute, Helmholtz Centre for Polar &amp; Marine Research; Hamburg University of Technology</t>
  </si>
  <si>
    <t>Miller, Heinrich/0000-0003-1015-2828; Nixdorf, Uwe/0000-0002-6288-4361</t>
  </si>
  <si>
    <t>10.3189/172756499781821346</t>
  </si>
  <si>
    <t>WOS:000086691400041</t>
  </si>
  <si>
    <t>Riedel, B; Nixdorf, U; Heinert, M; Eckstaller, A; Mayer, C</t>
  </si>
  <si>
    <t>The response of the Ekstromisen (Antarctica) grounding zone to tidal forcing</t>
  </si>
  <si>
    <t>ICE SHELF</t>
  </si>
  <si>
    <t>During the austral summer 1996-97 an extensive field program with geophysical and geodetic observations was carried out in the vicinity of the grounding line of Ekstromisen, Dronning Maud Land, Antarctica. The main emphasis of the joint program was placed on continuous observations of the horizontal as well as the vertical component of the ice displacement across the grounding zone. Data-processing methods for the in parts discontinuous time series and the vertical displacements in the area of the grounding zone are described, and first results presented, with the focus on the influence of the ocean tides on grounded ice. Tidal-induced deflections with amplitudes of up to 0.15 m were recorded at a station on grounded ice 1 km from the grounding line.</t>
  </si>
  <si>
    <t>Tech Univ Carolo Wilhelmina Braunschweig, Inst Geodasie &amp; Photogrammetrie, D-38106 Braunschweig, Germany; Alfred Wegener Inst Polar &amp; Marine Res, D-27515 Bremerhaven, Germany</t>
  </si>
  <si>
    <t>Braunschweig University of Technology; Helmholtz Association; Alfred Wegener Institute, Helmholtz Centre for Polar &amp; Marine Research</t>
  </si>
  <si>
    <t>Riedel, B (corresponding author), Tech Univ Carolo Wilhelmina Braunschweig, Inst Geodasie &amp; Photogrammetrie, D-38106 Braunschweig, Germany.</t>
  </si>
  <si>
    <t>Nixdorf, Uwe/0000-0002-6288-4361</t>
  </si>
  <si>
    <t>10.3189/172756499781821247</t>
  </si>
  <si>
    <t>WOS:000086691400042</t>
  </si>
  <si>
    <t>Liu, C; Bentley, CR; Lord, NE</t>
  </si>
  <si>
    <t>Velocity difference between the surface and base of Ice Stream B2, West Antarctica, from radar fading-pattern experiment</t>
  </si>
  <si>
    <t>As an ice-sounding radar receiver and transmitter are moved together across the snow surface, the returning echoes change rapidly, forming the spatial fading pattern. Because the fading pattern is determined by the details of the ice-bed interface and remains fixed in position relative to that interface while the ice moves, repeated measurements of the fading pattern can reveal the relative displacement between the snow surface and targets near the bed of the ice and/or in the ice. Six high-density grids, comprising flag lines approximately along and normal to the direction of ice flow on Ice Stream B2, West Antarctica, were repeatedly profiled with a digital 50 MHz radar system by triggering a burst of 128 pulses from the radar transmitter every 0.7 m. A highly directional microwave motion sensor and a manual event button provided registration marks along the lines. The original recorded amplitudes were resampled at a constant spatial interval by interpolation between adjacent traces to make possible an analytical comparison of fading patterns. Fading patterns recorded on different days were compared by cross-correlation analysis to estimate the horizontal displacement. Then near-surface crevasses, which locally blocked the transmitted energy, were used to correct for flag-positioning errors. The results from the three largest grids are significantly different: differential motions between the surface and the bed range from 1 to -0.5 m a(-1). We suspect that the differences are related to the complex systems of strains within the ice stream reported by Hulbe and Whillans (1997).</t>
  </si>
  <si>
    <t>Univ Wisconsin, Madison, WI 53706 USA</t>
  </si>
  <si>
    <t>Liu, C (corresponding author), Univ Wisconsin, 1215 W Dayton St, Madison, WI 53706 USA.</t>
  </si>
  <si>
    <t>10.3189/172756499781821184</t>
  </si>
  <si>
    <t>WOS:000086691400043</t>
  </si>
  <si>
    <t>Lambrecht, A; Mayer, C; Oerter, H; Nixdorf, U</t>
  </si>
  <si>
    <t>Investigations of the mass balance of the southeastern Ronne Ice Shelf, Antarctica</t>
  </si>
  <si>
    <t>Data from the Filchner V campaign were used to investigate the mass-balance conditions in the southeastern Ronne Ice Shelf (RIS), Antarctica. Radio-echo sounding and seismic measurements over this area show a maximum ice thickness of &gt;2000 m close to the grounding line of Foundation Ice Stream. The measurements also revealed that the position of this grounding line is 40 km further south than previously thought. New mass-flux calculations result in an estimate of 51 km(3) a(-1) for the ice-stream transport from the ice sheet into the eastern ice shelf. The Mollereisstrom (MES), west of Foundation Ice Stream, shows a maximum ice thickness of 1100-1200 m in the grounding-line area and a mass flux of 23 km(3) a(-1) Assuming steady-state conditions, mass-balance calculations based on the new data result in a mean melt rate of about 1 m a(-1) at the ice-shelf base for the entire southeastern part of the RIS. The melt rate in the grounding-line area of Foundation Ice Stream exceeds 9 m a(-1). In contrast, other ice streams draining into the Filchner-Ronne Ice Shelf show maximum melt rates from 1-2 m a(-1) (MES) to 4 m a(-1) (Rutford Ice Stream). Our calculations indicate that nearly all of the ice deposited in the drainage area of the eastern RIS on the ice sheet does not reach the ice-shelf front as original meteoric ice, but is melted at the ice-shelf base.</t>
  </si>
  <si>
    <t>Lambrecht, A (corresponding author), Terra Data Geophys Serv GMBH, Bissendorf, Germany.</t>
  </si>
  <si>
    <t>10.3189/172756499781820996</t>
  </si>
  <si>
    <t>WOS:000086691400044</t>
  </si>
  <si>
    <t>Skvarca, P; Rack, W; Rott, H</t>
  </si>
  <si>
    <t>34 year satellite time series to monitor characteristics, extent and dynamics of Larsen B Ice Shelf, Antarctic Peninsula</t>
  </si>
  <si>
    <t>COLLAPSE; RETREAT</t>
  </si>
  <si>
    <t>A variety of data are used to investigate Larsen B, which is at present the northernmost section of the Larsen Ice Shelf, Antarctic Peninsula. Recently declassified U.S. Argon satellite photographs from 1963, Kosmos photographs from 1975, Landsat images from 1986, 1988 and 1990, ERS-1/2 synthetic aperture radar images from 1992-97, Radarsat from 1998 and field surveys are used to analyze the areal extent, surface characteristics and dynamic behaviour of this ice-shelf section over more than three decades. Visible and radar imagery together with field observations are used synergistically to describe the ice-shelf morphology, including meltwater features and rifts. In contrast to the retreat of the ice-shelf sections in the north, Larsen B advanced steadily from 1963 to early 1995, when the area decreased significantly due to a major calving event. Analysis of different satellite images indicates that melting is proceeding further south in accordance with the regional warming trend. In addition, fracturing processes and rapid development of new rifts are observed, associated with recent acceleration of ice motion close to the front. All observations predict major calving events for this ice-shelf section in the near future.</t>
  </si>
  <si>
    <t>Inst Antartico Argentino, RA-1010 Buenos Aires, DF, Argentina; Univ Innsbruck, Inst Meteorol &amp; Geophys, A-6020 Innsbruck, Austria</t>
  </si>
  <si>
    <t>Instituto Antartico Argentino; University of Innsbruck</t>
  </si>
  <si>
    <t>Inst Antartico Argentino, Cerrito 1248, RA-1010 Buenos Aires, DF, Argentina.</t>
  </si>
  <si>
    <t>Rack, Wolfgang/U-8898-2017</t>
  </si>
  <si>
    <t>Rack, Wolfgang/0000-0003-2447-377X</t>
  </si>
  <si>
    <t>10.3189/172756499781821283</t>
  </si>
  <si>
    <t>WOS:000086691400045</t>
  </si>
  <si>
    <t>Rack, W; Rott, H; Siegel, A; Skvarca, P</t>
  </si>
  <si>
    <t>The motion field of northern Larsen Ice Shelf, Antarctic Peninsula, derived from satellite imagery</t>
  </si>
  <si>
    <t>COLLAPSE; RETREAT; SHEET</t>
  </si>
  <si>
    <t>The motion field of the northern Larsen Ice Shelf, Antarctic Peninsula, was analyzed, based on Landsat data from 1986 to 1989, Earth Resources Satellite (ERS) synthetic aperture radar (SAR) data from 1992 to 1997 and comparative field measurements along three transects. During this period the northern sections of the ice shelf showed steady retreat, which culminated in the disintegration of the two ice-shelf sections north of Seal Nunataks in January 1995. Velocities of these two sections were derived by cross-correlation, using SAR images of 1 year time intervals and Landsat images of 1-3 year intervals. A slight increase of velocity was observed as crevasses and rifts opened before the final disintegration. In addition, an interferometric motion analysis was carried out for the ice shelf around and south of Seal Nunataks, based on an image pair from the ERS-1/2 Tandem Mission in 1995. This analysis reveals a complex pattern of tidal flexure in the grounding zones, as well as rifting and shear zones on the ice shelf. In addition, the motion of the main input glaciers was derived.</t>
  </si>
  <si>
    <t>Univ Innsbruck, Inst Meteorol &amp; Geophys, A-6020 Innsbruck, Austria; Inst Antartico Argentino, RA-1010 Buenos Aires, DF, Argentina</t>
  </si>
  <si>
    <t>University of Innsbruck; Instituto Antartico Argentino</t>
  </si>
  <si>
    <t>Univ Innsbruck, Inst Meteorol &amp; Geophys, Innrain 52, A-6020 Innsbruck, Austria.</t>
  </si>
  <si>
    <t>10.3189/172756499781821120</t>
  </si>
  <si>
    <t>WOS:000086691400046</t>
  </si>
  <si>
    <t>Steinhage, D; Nixdorf, U; Meyer, U; Miller, H</t>
  </si>
  <si>
    <t>New maps of the ice thickness and subglacial topography in Dronning Maud Land, Antarctica, determined by means of airborne radio-echo sounding</t>
  </si>
  <si>
    <t>SHEET; GREENLAND; CORES; MODEL</t>
  </si>
  <si>
    <t>Since the austral summer of 1994-95 the Alfred Wegener Institute has carried out airborne radio-echo sounding (RES) measurements in Antarctica with its newly designed RES system. Since 1995-96 an ongoing pre-site survey for an ice-coring drill site in Dronning Maud Land has been carried out as part of the European Project for Ice Goring in Antarctica. The survey covers an area of 948 000 km(2), with &gt;49 500 km of airborne RES obtained from &gt;200 hours of flight operation flown during the period 1994-97. In this paper, first results of the airborne RES survey are graphically summarized as newly derived maps of the ice thickness and subglacial topography, as well as a three-dimensional view of surface and subglacial bed and outcrop topography, revealing a total ice volume of 1.48 x 10(6) km(3).</t>
  </si>
  <si>
    <t>Alfred Wegener Inst Polar &amp; Marine Res, Dept Geophys, D-27515 Bremerhaven, Germany</t>
  </si>
  <si>
    <t>Steinhage, D (corresponding author), Alfred Wegener Inst Polar &amp; Marine Res, Dept Geophys, POB 120161, D-27515 Bremerhaven, Germany.</t>
  </si>
  <si>
    <t>10.3189/172756499781821409</t>
  </si>
  <si>
    <t>WOS:000086691400047</t>
  </si>
  <si>
    <t>Pattyn, F</t>
  </si>
  <si>
    <t>The variability of the Antarctic ice-sheet response to the climatic signal</t>
  </si>
  <si>
    <t>RECORD; CORE; DYNAMICS</t>
  </si>
  <si>
    <t>High-resolution numerical model experiments were carried out along two flowlines in Dronning Maud Land, Antarctica, one flowline passing through the central part of a coastal mountain range and the other along a major continental ice stream (Shirase Glacier). Results showed that ice-sheet behaviour in response to the climatic signal differs locally. Response patterns are different for the inland ice sheet, for the coastal ice sheet and around marginal (subglacial) mountains. Modelled response time series were analyzed by lag-correlation, range and fractal analysis. Local differentiation in ice-sheet response is primarily related to the sensitive interplay between surface accumulation patterns, thermomechanical properties of the ice sheet and bedrock roughness.</t>
  </si>
  <si>
    <t>Free Univ Brussels, Dept Geog, B-1050 Brussels, Belgium</t>
  </si>
  <si>
    <t>Universite Libre de Bruxelles</t>
  </si>
  <si>
    <t>Pattyn, Frank/AAA-9640-2019</t>
  </si>
  <si>
    <t>Pattyn, Frank/0000-0003-4805-5636</t>
  </si>
  <si>
    <t>10.3189/172756499781821067</t>
  </si>
  <si>
    <t>WOS:000086691400048</t>
  </si>
  <si>
    <t>Yi, DH; Bentley, CR</t>
  </si>
  <si>
    <t>Geoscience Laser Altimeter System waveform simulation and its applications</t>
  </si>
  <si>
    <t>GREENLAND; SURFACE</t>
  </si>
  <si>
    <t>To study the relationship between surface topography and satellite laser altimetry waveform, a numerical model that simulates an ideal satellite laser altimeter has been developed. It has a Gaussian beam pattern and a Gaussian pulse shape. Different three-dimensional surface topographies have been used in the simulation to generate waveforms. Using a non-linear least-squares method, the generated waveforms were fitted to theoretical models to calculate surface roughness and surface slope. The outputs from the models were then compared with the values calculated from the given assumed surfaces. There is no way to distinguish between a horizontal, randomly rough surface and a smoothly sloping surface from waveform fitting alone. However, if either the surface roughness or the surface slope can be acquired independently, the other one can be determined through waveform fitting.</t>
  </si>
  <si>
    <t>NASA, Goddard Space Flight Ctr, Raytheon ITSS, Ocean &amp; Ice Branch, Greenbelt, MD 20771 USA; Univ Wisconsin, Geophys &amp; Polar Res Ctr, Madison, WI 53706 USA</t>
  </si>
  <si>
    <t>National Aeronautics &amp; Space Administration (NASA); NASA Goddard Space Flight Center; University of Wisconsin System; University of Wisconsin Madison</t>
  </si>
  <si>
    <t>Yi, DH (corresponding author), NASA, Goddard Space Flight Ctr, Raytheon ITSS, Ocean &amp; Ice Branch, Code 971, Greenbelt, MD 20771 USA.</t>
  </si>
  <si>
    <t>WOS:000086691400049</t>
  </si>
  <si>
    <t>Jezek, KC</t>
  </si>
  <si>
    <t>Glaciological properties of the Antarctic ice sheet from RADARSAT-1 synthetic aperture radar imagery</t>
  </si>
  <si>
    <t>GREENLAND</t>
  </si>
  <si>
    <t>The RADARSAT-1 Antarctic Mapping Project (RAMP) is a partnership between the Canadian Space Agency and the U.S. National Aeronautics and Space Administration. The goal of the project is to create the first complete high-resolution radar mosaic of all of Antarctica for studies of Antarctic glaciology, geology coastal processes and climate. The major participants in RAMP are the Ohio State University, the Alaska SAR Facility, the Jet Propulsion Laboratory, Pasadena, CA, and Vexcel Corporation Phase one of the project was the Antarctic Imaging Campaign-1 (AIC) which occurred during the period 9 September-20 October 1997. The AIC relied on the abilities of the Canadian RADARSAT-1 to rotate in orbit and to image with a variety of look angles to acquire imagery from the Antarctic coast to the pole. Its primary goal was the acquisition of image data. The nearly flawless execution of the mission also enabled additional collections of exact repeat orbit data. These data, covering a large part of the interior Antarctic, are potentially suitable for interferometric analysis of surface velocity. This paper describes the AIC and the various datasets obtained. It also reviews early scientific findings on the large-scale characteristics of the ice sheet including ice divides and ice streams. The overall conclusion is that these data, which constitute complete high-resolution microwave coverage, represent a new view of the Antarctic, revealing in considerable detail the glaciology, coastal processes and geology of the Southern Continent.</t>
  </si>
  <si>
    <t>Ohio State Univ, Byrd Polar Res Ctr, Columbus, OH 43210 USA; Ohio State Univ, Dept Geol Sci, Columbus, OH 43210 USA</t>
  </si>
  <si>
    <t>10.3189/172756499781820969</t>
  </si>
  <si>
    <t>WOS:000086691400050</t>
  </si>
  <si>
    <t>Staley, JT; Gosink, JJ</t>
  </si>
  <si>
    <t>Poles apart: Biodiversity and biogeography of sea ice bacteria</t>
  </si>
  <si>
    <t>ANNUAL REVIEW OF MICROBIOLOGY</t>
  </si>
  <si>
    <t>polar microbiology; sea ice microbiology; psychrophilic bacteria; bacterial biodiversity</t>
  </si>
  <si>
    <t>GAS VACUOLATE BACTERIA; RIBOSOMAL-RNA GENE; ANTARCTIC PACK-ICE; SP-NOV; MICROBIAL COMMUNITIES; MARINE-BACTERIA; FLECTOBACILLUS-GLOMERATUS; PSYCHROPHILIC BACTERIA; MCMURDO SOUND; WEDDELL SEA</t>
  </si>
  <si>
    <t>This review introduces the subjects of bacterial biodiversity and biogeography. Studies of biogeography are important for understanding biodiversity, the occurrence of threatened species, and the ecological role of free-living and symbiotic prokaryotes. A set of postulates is proposed for biogeography as a guide to determining whether prokaryotes are cosmopolitan (found in more than one geographic location on Earth) or candidate endemic species. The term geovar is coined to define a geographical variety of prokaryote that is restricted to one area on Earth or one host species. This review discusses sea ice bacteriology as a test case for examining bacterial diversity and biogeography. Approximately 7% of Earth's surface is covered by sea ice, which is colonized principally by psychrophilic microorganisms. This extensive community of microorganisms, referred to as the sea ice microbial community (SIMCO), contains algae (mostly diatoms), protozoa, and bacteria. Recent investigations indicate that the sea ice bacteria fall into four major phylogenetic groups: the proteobacteria, the Cytophaga-Flavobacterium-Bacteroides (CFB) group, and the high and low mol percent gram-positive bacteria. Archaea associated with sea ice communities have also been reported. Several novel bacterial genera and species have been discovered, including Polaromonas, Polaribacter, Psychroflexus, Gelidibacter, and Octadecabacter; many others await study. Some of the gram-negative sea ice bacteria have among the lowest maximum temperatures for growth known, &lt; 10 degrees C for some strains. The polar sea ice environment is an ideal habitat for studying microbial biogeography because of the dispersal issues involved. Dispersal between poles is problematic because of the long distances and the difficulty of transporting psychrophilic bacteria across the equator. Studies to date indicate that members of some genera occur at both poles; however, cosmopolitan species have not yet been discovered. Additional research on polar sea ice bacteria is needed to resolve this issue and extend our understanding of its microbial diversity.</t>
  </si>
  <si>
    <t>Univ Washington, Dept Microbiol 357242, Seattle, WA 98195 USA</t>
  </si>
  <si>
    <t>Univ Washington, Dept Microbiol 357242, Seattle, WA 98195 USA.</t>
  </si>
  <si>
    <t>jtstaley@u.washington.edu</t>
  </si>
  <si>
    <t>NIGMS NIH HHS [2T32 GM07270] Funding Source: Medline</t>
  </si>
  <si>
    <t>NIGMS NIH HHS(United States Department of Health &amp; Human ServicesNational Institutes of Health (NIH) - USANIH National Institute of General Medical Sciences (NIGMS))</t>
  </si>
  <si>
    <t>ANNUAL REVIEWS</t>
  </si>
  <si>
    <t>PALO ALTO</t>
  </si>
  <si>
    <t>4139 EL CAMINO WAY, PO BOX 10139, PALO ALTO, CA 94303-0139 USA</t>
  </si>
  <si>
    <t>0066-4227</t>
  </si>
  <si>
    <t>1545-3251</t>
  </si>
  <si>
    <t>ANNU REV MICROBIOL</t>
  </si>
  <si>
    <t>Annu. Rev. Microbiol.</t>
  </si>
  <si>
    <t>10.1146/annurev.micro.53.1.189</t>
  </si>
  <si>
    <t>247EW</t>
  </si>
  <si>
    <t>WOS:000083208500007</t>
  </si>
  <si>
    <t>Murata, I; Fukuma, N; Ohtaki, Y; Fukunishi, H; Kanzawa, H; Nakane, H; Shibasaki, K</t>
  </si>
  <si>
    <t>Chakrabarty, DK</t>
  </si>
  <si>
    <t>Measurements of O3 and N2O in Alaska with a tunable diode laser heterodyne spectrometer</t>
  </si>
  <si>
    <t>ANTARCTIC AND ARCTIC MIDDLE ATMOSPHERES: THEIR DIFFERENCES AND SIMILARITIES</t>
  </si>
  <si>
    <t>ADVANCES IN SPACE RESEARCH</t>
  </si>
  <si>
    <t>C2 4 Symposium of COSPAR Scientific Commission C Held at the 32nd COSPAR Scientific Assembly</t>
  </si>
  <si>
    <t>JUL 12-19, 1998</t>
  </si>
  <si>
    <t>NAGOYA, JAPAN</t>
  </si>
  <si>
    <t>OZONE DEPLETION; NITROUS-OXIDE; VORTEX; WINTER</t>
  </si>
  <si>
    <t>Total column amounts and vertical profiles of O-3 and N2O have been observed with a tunable diode laser heterodyne spectrometer at Poker Flat, Alaska (65 degrees N, 147 degrees W)from February 17 to March 10, 1997 and from April 1 to May 8, 1997. Poker Flat was usually located outside the polar vortex during these early to late spring periods, but sometimes located inside the vortex as in the cases of March 10 and April 17. The correlation plots between O-3 and N2O show that O-3 amount in the lower stratosphere was chemically depleted inside the polar vortex. (C) 1999 COSPAR. Published by Elsevier Science Ltd.</t>
  </si>
  <si>
    <t>Tohoku Univ, Grad Sch Sci, Dept Geophys &amp; Astron, Sendai, Miyagi 9808578, Japan; Natl Inst Environm Studies, Tsukuba, Ibaraki 3050053, Japan; Kokugakuin Univ, Tokyo 1508440, Japan</t>
  </si>
  <si>
    <t>Tohoku University; National Institute for Environmental Studies - Japan</t>
  </si>
  <si>
    <t>Murata, I (corresponding author), Tohoku Univ, Grad Sch Sci, Dept Geophys &amp; Astron, Sendai, Miyagi 9808578, Japan.</t>
  </si>
  <si>
    <t>Nakane, Hideaki/0000-0002-9032-6105</t>
  </si>
  <si>
    <t>PERGAMON PRESS LTD</t>
  </si>
  <si>
    <t>THE BOULEVARD LANGFORD LANE KIDLINGTON, OXFORD OX5 1GB, ENGLAND</t>
  </si>
  <si>
    <t>0273-1177</t>
  </si>
  <si>
    <t>ADV SPACE RES</t>
  </si>
  <si>
    <t>10.1016/S0273-1177(99)00325-7</t>
  </si>
  <si>
    <t>Engineering, Aerospace; Astronomy &amp; Astrophysics; Geosciences, Multidisciplinary; Meteorology &amp; Atmospheric Sciences</t>
  </si>
  <si>
    <t>Engineering; Astronomy &amp; Astrophysics; Geology; Meteorology &amp; Atmospheric Sciences</t>
  </si>
  <si>
    <t>BP27J</t>
  </si>
  <si>
    <t>WOS:000084546100001</t>
  </si>
  <si>
    <t>Krivolutsky, AA</t>
  </si>
  <si>
    <t>Air depression over south pole during antarctic spring and its possible influence on ozone content in this region</t>
  </si>
  <si>
    <t>Air depression during Antarctic spring, its long-term behaviour and connection with ozone content has been investigated on base of rocket data for polar regions and total ozone data sets for South pole (TOMS data) for 1979-1990. It was shown, that air pressure depression near South polar region in September in the lower stratosphere has a visible ( about 5% per decade) negative trend similar to the tendency which total ozone records reveal. Rather high correlation ( +0.82) between air pressure in the stratosphere and total ozone content for spring in Antarctica was found. (C) 1999 COSPAR. Published by Elsevier Science Ltd.</t>
  </si>
  <si>
    <t>Cent Aerol Observ, Dolgoprudnyi 141700, Moscow Region, Russia</t>
  </si>
  <si>
    <t>Krivolutsky, AA (corresponding author), Cent Aerol Observ, Pervomayskaya Str 3, Dolgoprudnyi 141700, Moscow Region, Russia.</t>
  </si>
  <si>
    <t>10.1016/S0273-1177(99)00327-0</t>
  </si>
  <si>
    <t>WOS:000084546100002</t>
  </si>
  <si>
    <t>Tie, XX; Brasseur, G; Hess, P; Riese, M</t>
  </si>
  <si>
    <t>Hemispheric asymmetry of chemical species and its effect on stratospheric ozone: Emphasis on halogen loading</t>
  </si>
  <si>
    <t>TROPOSPHERE; EXCHANGE; CLIMATE; MODEL; HOLE</t>
  </si>
  <si>
    <t>Differences between the dynamical characteristics of the northern hemisphere (NH) and southern hemisphere (SH) stratosphere (e.g., the temperature, the strength of polar vortex, and the mean meridional circulation) produce hemispherically asymmetrical distributions of chemical species. In this paper, we use global models to briefly discuss various effects on chemical species caused by this asymmetrical distribution, especially on stratospheric ozone. The role of hemispheric asymmetries in chlorine and bromine loadings on mid- and high latitude ozone depletion is particularly discussed. (C) 1999 COSPAR. Published by Elsevier Science Ltd.</t>
  </si>
  <si>
    <t>Natl Ctr Atmospher Res, Boulder, CO 80303 USA; Berg Univ Gesamthsch Wuppertal, Dept Phys, D-42097 Wuppertal, Germany</t>
  </si>
  <si>
    <t>National Center Atmospheric Research (NCAR) - USA; University of Wuppertal</t>
  </si>
  <si>
    <t>Tie, XX (corresponding author), Natl Ctr Atmospher Res, POB 300, Boulder, CO 80303 USA.</t>
  </si>
  <si>
    <t>Riese, Martin/A-3927-2013; hess, peter/M-3145-2015</t>
  </si>
  <si>
    <t>Riese, Martin/0000-0001-6398-6493; hess, peter/0000-0003-2439-3796</t>
  </si>
  <si>
    <t>10.1016/S0273-1177(99)00326-9</t>
  </si>
  <si>
    <t>WOS:000084546100003</t>
  </si>
  <si>
    <t>Hirooka, T; Yoshikawa, M; Miyahara, S; Kayahara, T</t>
  </si>
  <si>
    <t>Radiative and dynamical impacts of arctic and antarctic ozone holes: General circulation model experiments</t>
  </si>
  <si>
    <t>Radiative and dynamical impacts of Arctic and Antarctic ozone holes on the general circulation are investigated with the aid of a general circulation model developed at Kyushu University. The model includes a simplified ozone photochemistry interactively coupled with radiation and dynamics. Resultant temperature structure consisting of a cooling in the polar lower stratosphere and a warming in the polar upper stratosphere brings about the intensification of the polar night jet. The cooling is caused by the decrease of solar ultraviolet heating due to the ozone depletion, while the warming is caused by adiabatic heating due to the enhancement of downward motion. (C) 1999 COSPAR. Published by Elsevier Science Ltd.</t>
  </si>
  <si>
    <t>Kyushu Univ, Dept Earth &amp; Planetary Sci, Fukuoka 8128581, Japan; Natl Res Inst Earth Sci &amp; Disaster Prevent, Tsukuba, Ibaraki 3050006, Japan</t>
  </si>
  <si>
    <t>Kyushu University; National Research Institute for Earth Science &amp; Disaster Resilience</t>
  </si>
  <si>
    <t>Hirooka, T (corresponding author), Kyushu Univ, Dept Earth &amp; Planetary Sci, Fukuoka 8128581, Japan.</t>
  </si>
  <si>
    <t>10.1016/S0273-1177(99)00328-2</t>
  </si>
  <si>
    <t>WOS:000084546100004</t>
  </si>
  <si>
    <t>Lower ionosphere model of the polar regions during summer noontime</t>
  </si>
  <si>
    <t>SOUTHERN-HEMISPHERE; ION COMPOSITION; MESOSPHERE; MESOPAUSE; DAYTIME; ECHOES; CLOUDS</t>
  </si>
  <si>
    <t>Measurements of various parameters in both Arctic and Antarctic mesosphere are available in the literature. These have been first examined to identify the similarities and differences between them in the two polar regions. Then an attempt has been made to reproduce them using an ion-chemical scheme in which both positive and negative ion processes have been included Temperature and nitric oxide density are found to play a crucial role in the formation of these features. Finally a theoretical model of ion composition for Antarctic summer noontime condition is given. (C) 1999 COSPAR. Published by Elsevier Science Ltd.</t>
  </si>
  <si>
    <t>Phys Res Lab, Ahmedabad 380009, Gujarat, India</t>
  </si>
  <si>
    <t>Department of Space (DoS), Government of India; Physical Research Laboratory - India</t>
  </si>
  <si>
    <t>Chakrabarty, DK (corresponding author), Phys Res Lab, Ahmedabad 380009, Gujarat, India.</t>
  </si>
  <si>
    <t>10.1016/S0273-1177(99)00331-2</t>
  </si>
  <si>
    <t>WOS:000084546100005</t>
  </si>
  <si>
    <t>Blix, TA</t>
  </si>
  <si>
    <t>The importance of charged aerosols in the polar mesosphere in connection with Noctilucent Clouds and polar mesosphere summer echoes</t>
  </si>
  <si>
    <t>SOUTHERN-HEMISPHERE; ELECTRON-DENSITY; ICE PARTICLES; MST RADAR; MESOPAUSE; TEMPERATURES; THERMOSPHERE; COAGULATION; PROBES; DUST</t>
  </si>
  <si>
    <t>A number of campaigns have been conducted in order to study Polar Mesosphere Summer Echos (PMSE) and Noctilucent Clouds (NLC) in the period 1991-1994. Several sounding rockets have been launched through these layers with measurements being performed on upleg as well as downleg. These include measurements of positive ions and electrons in both ram and wake positions, as well as measurements of charged aerosols in ram on upleg. In this paper we will review these measurements and make a preliminary classification of the data based upon the presence of PMSE and/or NLC. One of the mechanisms responsible for PMSE is the presence of neutral air turbulence in combination with a high Schmidt number. We will briefly discuss this type of echo using in situ rocket data, Differences and similarities of PMSE and NLC as observed both in the Arctic and the Antarctic will be discussed. Observations show that especially PMSE are much more frequent in the Arctic. This may be due to a difference in the water vapour content or the temperature at mesopause heights. Lack of data in the Antarctic makes it difficult to decide which of these two factors are the most important. More measurements, especially co-ordinated in situ and ground-based lidar and radar measurements, are needed to discuss the Arctic and Antarctic similarities and differences in further detail. (C) 1999 COSPAR. Published by Elsevier Science Ltd.</t>
  </si>
  <si>
    <t>Norwegian Def Res Estab, N-2007 Kjeller, Norway</t>
  </si>
  <si>
    <t>Norwegian Defence Research Establishment</t>
  </si>
  <si>
    <t>Blix, TA (corresponding author), Norwegian Def Res Estab, Box 25, N-2007 Kjeller, Norway.</t>
  </si>
  <si>
    <t>10.1016/S0273-1177(99)00332-4</t>
  </si>
  <si>
    <t>WOS:000084546100006</t>
  </si>
  <si>
    <t>Danilov, AD; Vanina, LB</t>
  </si>
  <si>
    <t>Comparison of the polar D-region behavior in the Arctic and Antarctic</t>
  </si>
  <si>
    <t>The behavior of the polar D-region in the Arctic and Antarctic is studied on the basis of the database of the electron concentration measurements onboard the M-100B meteorological rockets launched at the Heiss Island and Molodezhnaya sites. All the measurements have been conducted by the same method, so their intercomparison is valid independently on the well known absolute calibration problem. It is found that there is a pronounced difference in the diurnal behavior of [e] in the upper D region at both sites. The [e] values demonstrate a correlation with the Sigma Kp magnetic index, the dependence being better pronounced in the dark period The [e] values demonstrate also a dependence on the neutral gas temperature T, the fact being a manifestation of the meteorological control of the D region even at high latitudes. (C) 1999 COSPAR. Published by Elsevier Science Ltd.</t>
  </si>
  <si>
    <t>Inst Appl Geophys, Moscow 129128, Russia</t>
  </si>
  <si>
    <t>Danilov, AD (corresponding author), Inst Appl Geophys, Rostokinskaya 9, Moscow 129128, Russia.</t>
  </si>
  <si>
    <t>Danilov, Alexey/ABH-7887-2020</t>
  </si>
  <si>
    <t>Vanina-Dart, Liudmila/0000-0002-7699-027X</t>
  </si>
  <si>
    <t>10.1016/S0273-1177(99)00333-6</t>
  </si>
  <si>
    <t>WOS:000084546100007</t>
  </si>
  <si>
    <t>Iwagami, N; Yamamoto, H; Sekiguchi, H; Watanabe, T; Suzuki, K; Shibasaki, K</t>
  </si>
  <si>
    <t>Mesospheric nitric oxide and ozone measurements in polar winter at 69°N</t>
  </si>
  <si>
    <t>2-DIMENSIONAL MODEL; MIDDLE ATMOSPHERE; NO</t>
  </si>
  <si>
    <t>Two rocket experiments were carried out just before and after the polar night at Andoya (69 degrees N), Norway to investigate transport of nitric oxide produced by auroral processes into the middle atmosphere and its influence on the ozone chemistry. Nitric oxide densities of (2-5) x 10(8)cm(-3) found in the 70-90 km region are one to two orders of magnitude larger than those at middle latitudes. The influence on ozone densities in the 70-90 km region due to such enhanced nitric oxide abundance is found to be insignificant as compared to that due to transport in the middle of February. The larger ozone densities found in February tin spite of longer sunlit duration) than in November in the 40-60 km region again support predominance of transport over photochemical loss. (C) 1999 COSPAR. Published by Elsevier Science Ltd.</t>
  </si>
  <si>
    <t>Univ Tokyo, Dept Earth &amp; Planetary Phys, Bunkyo Ku, Tokyo 113, Japan; Rikkyo Univ, Dept Phys, Toshima Ku, Tokyo 171, Japan; Tsukuba Coll Technol, Tsukuba, Ibaraki 305, Japan; Yokohama Natl Univ, Fac Educ, Hodogaya Ku, Yokohama, Kanagawa 204, Japan; Kokugakuin Univ, Fac Literature, Shibuya Ku, Tokyo 150, Japan</t>
  </si>
  <si>
    <t>University of Tokyo; Rikkyo University; Tsukuba University of Technology; Yokohama National University</t>
  </si>
  <si>
    <t>Iwagami, N (corresponding author), Univ Tokyo, Dept Earth &amp; Planetary Phys, Bunkyo Ku, Tokyo 113, Japan.</t>
  </si>
  <si>
    <t>IWAGAMI, NAOMOTO/G-4878-2014</t>
  </si>
  <si>
    <t>10.1016/S0273-1177(99)00334-8</t>
  </si>
  <si>
    <t>WOS:000084546100008</t>
  </si>
  <si>
    <t>von Biel, HA</t>
  </si>
  <si>
    <t>Back-scattering of MF electromagnetic energy from the Antarctic stratosphere</t>
  </si>
  <si>
    <t>A short review of the partial reflection experiment is presented along with the commonly made assumptions regarding the scattering mechanisms of the MF magneto-ionic modes in the mesosphere. It is shown that the traditional method of analysing differential absorption data can give rise to considerable errors in the determination of ionisation density at a particular scattering height. A new analysis approach is presented which yields a profile of the product of electron density and collisional frequency, rather than estimates of the electron density only. A by-product of this analysis technique is an estimate of the reflection coefficient factor F-xv(h) which traditionally has been set identically equal to unity. Analysis of data collected from 1983 to 1998 at Scott Base, Antarctica, has revealed that this reflection coefficient factor exhibits a seasonal dependence and differs substantially from unity, particularly at scattering heights between 40km and 60km. It is shown that neglecting this factor could easily lead to the conclusion that differential absorption is present at certain scattering heights with the consequent implication of the presence of ionisation. (C) 1999 COSPAR. Published by Elsevier Science Ltd.</t>
  </si>
  <si>
    <t>Univ Canterbury, Dept Phys &amp; Astron, Christchurch 1, New Zealand</t>
  </si>
  <si>
    <t>von Biel, HA (corresponding author), Univ Canterbury, Dept Phys &amp; Astron, Christchurch 1, New Zealand.</t>
  </si>
  <si>
    <t>10.1016/S0273-1177(99)00329-4</t>
  </si>
  <si>
    <t>WOS:000084546100009</t>
  </si>
  <si>
    <t>McEwen, DJ; Zhang, Y; Sivjee, GG; Minow, J</t>
  </si>
  <si>
    <t>Arctic-Antarctic night airglow comparisons</t>
  </si>
  <si>
    <t>SOUTH-POLE; TIDAL OSCILLATIONS; WINTER MESOPAUSE; UPPER MESOSPHERE; CAP; REGION; RAIN; WIND; OI</t>
  </si>
  <si>
    <t>Airglow observations from Eureka, Canada (80 degrees N) and South Pole (90 degrees S) observatories have been made through the winters during the past 1/2 solar cycle. Seasonal and solar activity changes are evident. The intensities also show temporal variations due to wave activity, with periods from 6 hours to 15 days, particularly in the Arctic OI and Na emissions. Comparisons are made of the OH intensities measured at Eureka and South Pole during their respective winters. (C) 1999 COSPAR. Published by Elsevier Science Ltd.</t>
  </si>
  <si>
    <t>Univ Saskatchewan, Dept Phys &amp; Engn Phys, Saskatoon, SK S7N 5E2, Canada; Embry Riddle Aeronaut Univ, SPRL, Daytona Beach, FL 32114 USA</t>
  </si>
  <si>
    <t>University of Saskatchewan; Embry-Riddle Aeronautical University</t>
  </si>
  <si>
    <t>McEwen, DJ (corresponding author), Univ Saskatchewan, Dept Phys &amp; Engn Phys, 116 Sci Pl, Saskatoon, SK S7N 5E2, Canada.</t>
  </si>
  <si>
    <t>Zhang, Yongliang/C-2180-2016</t>
  </si>
  <si>
    <t>Zhang, Yongliang/0000-0003-4851-1662</t>
  </si>
  <si>
    <t>10.1016/S0273-1177(99)00330-0</t>
  </si>
  <si>
    <t>WOS:000084546100010</t>
  </si>
  <si>
    <t>Ejiri, M; Aso, T; Okada, M; Tsutsumi, M; Taguchi, M; Sato, N; Okano, S</t>
  </si>
  <si>
    <t>Japanese research project on Arctic and Antarctic observations of the middle atmosphere</t>
  </si>
  <si>
    <t>CAMPAIGN; WAVES; RADAR</t>
  </si>
  <si>
    <t>An all-sky optical imager is in routine observation at the South Pole. Monochromatic images of aurora and air glow at N-2(+) 427.8nm, OI 557.7nm, OI 630nm and OH 730nm are supplying significant information on the magnetospheric process in the polar cap and cusp/cleft region along with atmospheric wave signature at this particular point. Super-DARN radars in Antarctica make observations over the South Pole. At Syowa Station, Antarctica, a multi-instrumental observation project is now being implemented for the study of the polar upper atmosphere from the mesosphere to the thermosphere, where complex physical and chemical processes take place making the region very attractive for scientific research. Two HF radars, which are part of SuperDARN radars, have been already installed and started observations. By the end of 1999, all-sky imagers, photo meters, a Na temperature Lidar, an MF radar and a Fabry-Perot interferometer will be introduced and start collecting various physical parameters on a routine basis. In the Arctic region, we are planning to deploy coordinated ground-based observations with optical, radio and radar sensing of the polar middle and upper atmosphere in conjunction with EISCAT radars. Scientific goals are versatile to shed light on the tangled coupling processes in response to magnetospheric disturbances from above and bi-lateral interactions with high-density lower atmospheric layers. These are outlined in this paper. (C) 1999 COSPAR. Published by Elsevier Science Ltd.</t>
  </si>
  <si>
    <t>Ejiri, M (corresponding author), Natl Inst Polar Res, Itabashi Ku, Tokyo 1738515, Japan.</t>
  </si>
  <si>
    <t>10.1016/S0273-1177(99)00335-X</t>
  </si>
  <si>
    <t>WOS:000084546100011</t>
  </si>
  <si>
    <t>Miller, HC; Mills, GN; Bembo, DG; Macdonald, JA; Evans, CW</t>
  </si>
  <si>
    <t>Induction of cytochrome P4501A (CYP1A) in Trematomus bernacchii as an indicator of environmental pollution in Antarctica:: assessment by quantitative RT-PCR</t>
  </si>
  <si>
    <t>AQUATIC TOXICOLOGY</t>
  </si>
  <si>
    <t>Antarctica; CYP1A; cytochrome P450; pollution; RT-PCR; Trematomus bernacchii</t>
  </si>
  <si>
    <t>POLYMERASE CHAIN-REACTION; BENTHIC MARINE POLLUTION; MESSENGER-RNA; HEPATIC CYTOCHROME-P-450; MCMURDO-STATION; MFO ACTIVITY; FISH; CONTAMINATION; EXPOSURE; QUANTIFICATION</t>
  </si>
  <si>
    <t>Although most of Antarctica is relatively pristine, high levels of pollutants have been recorded in localised areas such as in the vicinity of scientific bases like McMurdo Station. We have used the Antarctic fish Trematomus bernacchii as an indicator species to assess the level of impact of these pollutants on the local biota. Fish were collected from Winter Quarters Bay (adjacent to McMurdo Station) and Backdoor Bay (remote from human activities). Liver samples from individual fish were used in the preparation of total RNA from which the level of expression of the cytochrome P4501A gene (CYP1A), known to be responsive to polycyclic aromatic hydrocarbons (PAHs), was determined by quantitative competitive reverse-transcriptase polymerase chain reaction (RT-PCR). Samples of bile from the same fish were analysed for fluorescent aromatic compounds (FACs) at naphthalene and phenanthrene wavelengths to provide an indication of exposure to organic compounds such as the PAHs. The levels of biliary FACs in fish from Winter Quarters Bay were approximately 2-fold higher than those in fish from Backdoor Bay, whereas there was an average 37-fold increase in CYP1A expression between fish taken from the two sites. The extent of CYP1A induction correlated positively with biliary FACs levels, indicating the potential of quantitative competitive RT-PCR as a sensitive molecular approach to pollution impact assessment. Fish from Winter Quarters Bay also had significantly higher hepatosomatic and gonadosomatic indices indicative of altered organ function, although the extent to which this might be related to pollution is uncertain. (C) 1999 Elsevier Science B.V. All rights reserved.</t>
  </si>
  <si>
    <t>Univ Auckland, Sch Biol Sci, Dev Biol &amp; Canc Res Grp, Auckland 1, New Zealand; Univ Auckland, Sch Biol Sci, Expt Biol Res Grp, Auckland 1, New Zealand; Natl Inst Water &amp; Atmospher Res, Hamilton, New Zealand</t>
  </si>
  <si>
    <t>University of Auckland; University of Auckland; National Institute of Water &amp; Atmospheric Research (NIWA) - New Zealand</t>
  </si>
  <si>
    <t>Evans, CW (corresponding author), Univ Auckland, Sch Biol Sci, Dev Biol &amp; Canc Res Grp, Private Bag 92019, Auckland 1, New Zealand.</t>
  </si>
  <si>
    <t>Evans, Clive/AAZ-4699-2021</t>
  </si>
  <si>
    <t>Evans, Clive/0000-0003-2888-842X</t>
  </si>
  <si>
    <t>0166-445X</t>
  </si>
  <si>
    <t>AQUAT TOXICOL</t>
  </si>
  <si>
    <t>Aquat. Toxicol.</t>
  </si>
  <si>
    <t>JAN</t>
  </si>
  <si>
    <t>Marine &amp; Freshwater Biology; Toxicology</t>
  </si>
  <si>
    <t>154QG</t>
  </si>
  <si>
    <t>WOS:000077899400003</t>
  </si>
  <si>
    <t>Veit, RR</t>
  </si>
  <si>
    <t>Behavioural responses by foraging petrels to swarms of Antarctic Krill Euphausia superba</t>
  </si>
  <si>
    <t>ARDEA</t>
  </si>
  <si>
    <t>Daption capense; Fulmarus glacialoides; Macronectes giganteus; Macronectes halli; Pelecanoides urinatrix; Halobaena caerulea; Euphausia superba; foraging behaviour; area-restricted search; patchy resources; krill; Antarctic</t>
  </si>
  <si>
    <t>SOUTH-GEORGIA; PREY; PATTERNS; ECOLOGY; MODELS; PREDATORS; DISPERSAL; SEABIRDS; PENGUINS; WINTER</t>
  </si>
  <si>
    <t>Petrels feeding on Antarctic Krill Euphausia superba use two basic strategies to locate prey patches. One strategy is area-restricted search, in which individuals interrupt straight-line motion on detecting prey, and then circle about. This increased rate of turning near prey increases the likelihood of detecting additional patches, since patches tend to be clumped in space. A second strategy is local enhancement, in which individuals monitor the behaviour of others, and converge on those individuals that display behaviour indicative of feeding. In this paper, attention is focused on the first strategy, area restricted search, and evidence of increased turning rates in the vicinity of krill patches is sought. The hypotheses tested were first, that six species of krill-feeding petrels engage in area restricted search; and then that the tendency for seabirds to either sit on the water, patter with their feet, or seize prey was correlated with the distance to the nearest krill patch. Seabird abundance and behaviour was paired with krill abundance east of South Georgia (55 degrees S, 35 degrees W) in June 1993. Three species, Cape Petrel Daption capense, Northern Giant Petrel Macronectes halli and Southern Giant Petrel M. giganteus, changed their direction of Eight significantly more often when near krill swarms than when in krill-free areas, indicating that they used area restricted search. Cape Petrels were also significantly more likely to sit on the water and to patter along the surface when close to krill swarms.</t>
  </si>
  <si>
    <t>Univ Washington, Dept Zool NJ15, Seattle, WA 98195 USA</t>
  </si>
  <si>
    <t>Veit, RR (corresponding author), CUNY Coll Staten Isl, Dept Biol, 2800 Victory Blvd, Staten Isl, NY 10314 USA.</t>
  </si>
  <si>
    <t>NEDERLANDSE ORNITHOLOGISCHE UNIE</t>
  </si>
  <si>
    <t>ZEIST</t>
  </si>
  <si>
    <t>C/O PAUL STARMANS, OUDE ARNHEMSEWEG 261, 3705 BD ZEIST, NETHERLANDS</t>
  </si>
  <si>
    <t>0373-2266</t>
  </si>
  <si>
    <t>Ardea</t>
  </si>
  <si>
    <t>247QW</t>
  </si>
  <si>
    <t>WOS:000083232300004</t>
  </si>
  <si>
    <t>Marks, RD; Vernin, J; Azouit, M; Manigault, JF; Clevelin, C</t>
  </si>
  <si>
    <t>Measurement of optical seeing on the high Antarctic plateau</t>
  </si>
  <si>
    <t>ASTRONOMY &amp; ASTROPHYSICS SUPPLEMENT SERIES</t>
  </si>
  <si>
    <t>atmospheric effects; balloons; instrumentation : miscellaneous; methods : observational; site testing</t>
  </si>
  <si>
    <t>INFRARED SKY BRIGHTNESS; GROUND-BASED TELESCOPES; IMAGE MOTION MONITOR; SOUTH-POLE</t>
  </si>
  <si>
    <t>Results from the 1995 season of site-testing experiments at the South Pole are presented, in which the seeing was measured using balloon-borne microthermal probes. Our analysis shows a marked division of the atmosphere into two characteristic regions: (i) a highly turbulent boundary layer (0 - 220 m) associated with a strong temperature inversion and wind shear, and (ii) a very stable free atmosphere. The mean seeing, averaged over 15 balloon flights, was measured to be 1.86 , of which the free atmosphere component was only 0.37 . The seeing from similar to 200 m upward is superior to the leading mid-latitude sites (e.g. Fuchs 1995; Roddier et al. 1990) by almost a factor of two. The results are in good agreement with optical seeing data obtained by a differential image motion monitor on three of the five occasions when the two measurements were performed simultaneously. The boundary layer winds are of katabatic origin, and so we may consider the possibility of exceptional seeing conditions from surface level at other locations on the plateau such as Domes A and C, where there is little or no katabatic wind. In addition, the proximity of the optical turbulence to the focus of a telescope situated at ground level is a highly favourable situation for the use of adaptive optics, since the wavefront spatial coherence scale is related to the altitude of the turbulent layers producing the image distortion. Some comparisons are made between the relevant adaptive optics parameters measured at the South Pole and Cerro Paranal, one of the best mid-latitude sites.</t>
  </si>
  <si>
    <t>Univ New S Wales, Sch Phys, Joint Australian Ctr AStrophys Res Antartica, Sydney, NSW 2052, Australia; Univ Nice, Dept Astrophys, URA 709 CNRS, F-06108 Nice 2, France; Antartic Support Associates, Englewood, CO 80112 USA</t>
  </si>
  <si>
    <t>University of New South Wales Sydney; Universite Cote d'Azur</t>
  </si>
  <si>
    <t>Marks, RD (corresponding author), Univ New S Wales, Sch Phys, Joint Australian Ctr AStrophys Res Antartica, Sydney, NSW 2052, Australia.</t>
  </si>
  <si>
    <t>Vernin, Jean/0000-0002-8956-8844</t>
  </si>
  <si>
    <t>E D P SCIENCES</t>
  </si>
  <si>
    <t>LES ULIS CEDEXA</t>
  </si>
  <si>
    <t>7, AVE DU HOGGAR, PARC D ACTIVITES COURTABOEUF, BP 112, F-91944 LES ULIS CEDEXA, FRANCE</t>
  </si>
  <si>
    <t>0365-0138</t>
  </si>
  <si>
    <t>ASTRON ASTROPHYS SUP</t>
  </si>
  <si>
    <t>Astron. Astrophys. Suppl. Ser.</t>
  </si>
  <si>
    <t>10.1051/aas:1999100</t>
  </si>
  <si>
    <t>162DU</t>
  </si>
  <si>
    <t>WOS:000078330800014</t>
  </si>
  <si>
    <t>Schmidt, S; Stewart, GR</t>
  </si>
  <si>
    <t>Glycine metabolism by plant roots and its occurrence in Australian plant communities</t>
  </si>
  <si>
    <t>AUSTRALIAN JOURNAL OF PLANT PHYSIOLOGY</t>
  </si>
  <si>
    <t>amino acids; aminotransferase; glycine metabolism; enzyme inhibitors; cluster roots; organic N; soil N sources; N-15-labelling; serine hydroxymethyltransferase</t>
  </si>
  <si>
    <t>ANTARCTIC MACQUARIE ISLAND; N-15 NATURAL-ABUNDANCE; MYCORRHIZAL ASSOCIATIONS; PISUM-SATIVUM; AMINO-ACIDS; ORGANIC NITROGEN; VASCULAR PLANTS; SOIL PROPERTIES; ARCTIC PLANTS; SERINE</t>
  </si>
  <si>
    <t>Soluble organic nitrogen, including protein and amino acids, was found to be a ubiquitous form of soil N in diverse Australian environments. Fine roots of species representative of these environments were found to be active in the metabolism of glycine. The ability to incorporate [N-15]glycine was widespread among plant species from subantarctic to tropical communities. In species from subantarctic herbfield, subtropical coral cay, subtropical rainforest and wet heathland, [N-15]glycine incorporation ranged from 26 to 45% of (NH4+)-N-15 incorporation and was 2- to 3-fold greater than (NO3-)-N-15 incorporation. Most semiarid mulga and tropical savanna woodland species incorporated [N-15]glycine and (NO3-)-N-15 in similar amounts, 18-26% of (NH4+)-N-15 incorporation. We conclude that the potential to utilise amino acids as N sources is of widespread occurrence in plant communities and is not restricted to those from low temperature regimes or where N mineralisation is limited. Seedlings of Hakea (Proteaceae) were shown to metabolise glycine, with a rapid transfer of N-15 from glycine to serine and other amino compounds. The ability to take up and metabolise glycine was unaffected by the presence of equimolar concentrations of NO3- and NH4+. Isonicotinic acid hydrazide (INH) did not inhibit the transfer of N-15-label from glycine to serine indicating that serine hydroxymethyltransferase was not active in glycine catabolism. In contrast aminooxyacetate (AOA) strongly inhibited transfer of N-15 from glycine to serine and labelling of other amino compounds, suggesting that glycine is metabolised in roots and cluster roots of Hakea via an aminotransferase.</t>
  </si>
  <si>
    <t>Univ Queensland, Dept Bot, St Lucia, Qld 4072, Australia</t>
  </si>
  <si>
    <t>Univ Queensland, Dept Bot, St Lucia, Qld 4072, Australia.</t>
  </si>
  <si>
    <t>S.Schmidt@botany.uq.edu.au</t>
  </si>
  <si>
    <t>Schmidt, Susanne/B-2780-2009</t>
  </si>
  <si>
    <t>Schmidt, Susanne/0000-0001-8369-1238</t>
  </si>
  <si>
    <t>0310-7841</t>
  </si>
  <si>
    <t>AUST J PLANT PHYSIOL</t>
  </si>
  <si>
    <t>Aust. J. Plant Physiol.</t>
  </si>
  <si>
    <t>10.1071/PP98116</t>
  </si>
  <si>
    <t>197QV</t>
  </si>
  <si>
    <t>WOS:000080377900007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</si>
</sst>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84</v>
      </c>
      <c r="AA2" t="s">
        <v>74</v>
      </c>
      <c r="AB2" t="s">
        <v>85</v>
      </c>
      <c r="AC2" t="s">
        <v>74</v>
      </c>
      <c r="AD2" t="s">
        <v>74</v>
      </c>
      <c r="AE2" t="s">
        <v>74</v>
      </c>
      <c r="AF2" t="s">
        <v>74</v>
      </c>
      <c r="AG2">
        <v>28</v>
      </c>
      <c r="AH2">
        <v>6</v>
      </c>
      <c r="AI2">
        <v>6</v>
      </c>
      <c r="AJ2">
        <v>0</v>
      </c>
      <c r="AK2">
        <v>2</v>
      </c>
      <c r="AL2" t="s">
        <v>86</v>
      </c>
      <c r="AM2" t="s">
        <v>87</v>
      </c>
      <c r="AN2" t="s">
        <v>88</v>
      </c>
      <c r="AO2" t="s">
        <v>89</v>
      </c>
      <c r="AP2" t="s">
        <v>90</v>
      </c>
      <c r="AQ2" t="s">
        <v>74</v>
      </c>
      <c r="AR2" t="s">
        <v>91</v>
      </c>
      <c r="AS2" t="s">
        <v>92</v>
      </c>
      <c r="AT2" t="s">
        <v>93</v>
      </c>
      <c r="AU2">
        <v>1999</v>
      </c>
      <c r="AV2">
        <v>14</v>
      </c>
      <c r="AW2">
        <v>6</v>
      </c>
      <c r="AX2">
        <v>1</v>
      </c>
      <c r="AY2" t="s">
        <v>74</v>
      </c>
      <c r="AZ2" t="s">
        <v>74</v>
      </c>
      <c r="BA2" t="s">
        <v>74</v>
      </c>
      <c r="BB2">
        <v>893</v>
      </c>
      <c r="BC2">
        <v>908</v>
      </c>
      <c r="BD2" t="s">
        <v>74</v>
      </c>
      <c r="BE2" t="s">
        <v>94</v>
      </c>
      <c r="BF2" t="str">
        <f>HYPERLINK("http://dx.doi.org/10.1175/1520-0434(1999)014&lt;0893:ASAMEO&gt;2.0.CO;2","http://dx.doi.org/10.1175/1520-0434(1999)014&lt;0893:ASAMEO&gt;2.0.CO;2")</f>
        <v>http://dx.doi.org/10.1175/1520-0434(1999)014&lt;0893:ASAMEO&gt;2.0.CO;2</v>
      </c>
      <c r="BG2" t="s">
        <v>74</v>
      </c>
      <c r="BH2" t="s">
        <v>74</v>
      </c>
      <c r="BI2">
        <v>16</v>
      </c>
      <c r="BJ2" t="s">
        <v>95</v>
      </c>
      <c r="BK2" t="s">
        <v>96</v>
      </c>
      <c r="BL2" t="s">
        <v>95</v>
      </c>
      <c r="BM2" t="s">
        <v>97</v>
      </c>
      <c r="BN2" t="s">
        <v>74</v>
      </c>
      <c r="BO2" t="s">
        <v>98</v>
      </c>
      <c r="BP2" t="s">
        <v>74</v>
      </c>
      <c r="BQ2" t="s">
        <v>74</v>
      </c>
      <c r="BR2" t="s">
        <v>99</v>
      </c>
      <c r="BS2" t="s">
        <v>100</v>
      </c>
      <c r="BT2" t="str">
        <f>HYPERLINK("https%3A%2F%2Fwww.webofscience.com%2Fwos%2Fwoscc%2Ffull-record%2FWOS:000084380600008","View Full Record in Web of Science")</f>
        <v>View Full Record in Web of Science</v>
      </c>
    </row>
    <row r="3" spans="1:72" x14ac:dyDescent="0.15">
      <c r="A3" t="s">
        <v>72</v>
      </c>
      <c r="B3" t="s">
        <v>101</v>
      </c>
      <c r="C3" t="s">
        <v>74</v>
      </c>
      <c r="D3" t="s">
        <v>74</v>
      </c>
      <c r="E3" t="s">
        <v>74</v>
      </c>
      <c r="F3" t="s">
        <v>101</v>
      </c>
      <c r="G3" t="s">
        <v>74</v>
      </c>
      <c r="H3" t="s">
        <v>74</v>
      </c>
      <c r="I3" t="s">
        <v>102</v>
      </c>
      <c r="J3" t="s">
        <v>76</v>
      </c>
      <c r="K3" t="s">
        <v>74</v>
      </c>
      <c r="L3" t="s">
        <v>74</v>
      </c>
      <c r="M3" t="s">
        <v>77</v>
      </c>
      <c r="N3" t="s">
        <v>78</v>
      </c>
      <c r="O3" t="s">
        <v>74</v>
      </c>
      <c r="P3" t="s">
        <v>74</v>
      </c>
      <c r="Q3" t="s">
        <v>74</v>
      </c>
      <c r="R3" t="s">
        <v>74</v>
      </c>
      <c r="S3" t="s">
        <v>74</v>
      </c>
      <c r="T3" t="s">
        <v>74</v>
      </c>
      <c r="U3" t="s">
        <v>103</v>
      </c>
      <c r="V3" t="s">
        <v>104</v>
      </c>
      <c r="W3" t="s">
        <v>105</v>
      </c>
      <c r="X3" t="s">
        <v>106</v>
      </c>
      <c r="Y3" t="s">
        <v>107</v>
      </c>
      <c r="Z3" t="s">
        <v>74</v>
      </c>
      <c r="AA3" t="s">
        <v>108</v>
      </c>
      <c r="AB3" t="s">
        <v>74</v>
      </c>
      <c r="AC3" t="s">
        <v>74</v>
      </c>
      <c r="AD3" t="s">
        <v>74</v>
      </c>
      <c r="AE3" t="s">
        <v>74</v>
      </c>
      <c r="AF3" t="s">
        <v>74</v>
      </c>
      <c r="AG3">
        <v>21</v>
      </c>
      <c r="AH3">
        <v>8</v>
      </c>
      <c r="AI3">
        <v>8</v>
      </c>
      <c r="AJ3">
        <v>0</v>
      </c>
      <c r="AK3">
        <v>2</v>
      </c>
      <c r="AL3" t="s">
        <v>86</v>
      </c>
      <c r="AM3" t="s">
        <v>87</v>
      </c>
      <c r="AN3" t="s">
        <v>88</v>
      </c>
      <c r="AO3" t="s">
        <v>89</v>
      </c>
      <c r="AP3" t="s">
        <v>74</v>
      </c>
      <c r="AQ3" t="s">
        <v>74</v>
      </c>
      <c r="AR3" t="s">
        <v>91</v>
      </c>
      <c r="AS3" t="s">
        <v>92</v>
      </c>
      <c r="AT3" t="s">
        <v>93</v>
      </c>
      <c r="AU3">
        <v>1999</v>
      </c>
      <c r="AV3">
        <v>14</v>
      </c>
      <c r="AW3">
        <v>6</v>
      </c>
      <c r="AX3">
        <v>1</v>
      </c>
      <c r="AY3" t="s">
        <v>74</v>
      </c>
      <c r="AZ3" t="s">
        <v>74</v>
      </c>
      <c r="BA3" t="s">
        <v>74</v>
      </c>
      <c r="BB3">
        <v>909</v>
      </c>
      <c r="BC3">
        <v>919</v>
      </c>
      <c r="BD3" t="s">
        <v>74</v>
      </c>
      <c r="BE3" t="s">
        <v>109</v>
      </c>
      <c r="BF3" t="str">
        <f>HYPERLINK("http://dx.doi.org/10.1175/1520-0434(1999)014&lt;0909:OTROSH&gt;2.0.CO;2","http://dx.doi.org/10.1175/1520-0434(1999)014&lt;0909:OTROSH&gt;2.0.CO;2")</f>
        <v>http://dx.doi.org/10.1175/1520-0434(1999)014&lt;0909:OTROSH&gt;2.0.CO;2</v>
      </c>
      <c r="BG3" t="s">
        <v>74</v>
      </c>
      <c r="BH3" t="s">
        <v>74</v>
      </c>
      <c r="BI3">
        <v>11</v>
      </c>
      <c r="BJ3" t="s">
        <v>95</v>
      </c>
      <c r="BK3" t="s">
        <v>96</v>
      </c>
      <c r="BL3" t="s">
        <v>95</v>
      </c>
      <c r="BM3" t="s">
        <v>97</v>
      </c>
      <c r="BN3" t="s">
        <v>74</v>
      </c>
      <c r="BO3" t="s">
        <v>98</v>
      </c>
      <c r="BP3" t="s">
        <v>74</v>
      </c>
      <c r="BQ3" t="s">
        <v>74</v>
      </c>
      <c r="BR3" t="s">
        <v>99</v>
      </c>
      <c r="BS3" t="s">
        <v>110</v>
      </c>
      <c r="BT3" t="str">
        <f>HYPERLINK("https%3A%2F%2Fwww.webofscience.com%2Fwos%2Fwoscc%2Ffull-record%2FWOS:000084380600009","View Full Record in Web of Science")</f>
        <v>View Full Record in Web of Science</v>
      </c>
    </row>
    <row r="4" spans="1:72" x14ac:dyDescent="0.15">
      <c r="A4" t="s">
        <v>72</v>
      </c>
      <c r="B4" t="s">
        <v>111</v>
      </c>
      <c r="C4" t="s">
        <v>74</v>
      </c>
      <c r="D4" t="s">
        <v>74</v>
      </c>
      <c r="E4" t="s">
        <v>74</v>
      </c>
      <c r="F4" t="s">
        <v>111</v>
      </c>
      <c r="G4" t="s">
        <v>74</v>
      </c>
      <c r="H4" t="s">
        <v>74</v>
      </c>
      <c r="I4" t="s">
        <v>112</v>
      </c>
      <c r="J4" t="s">
        <v>76</v>
      </c>
      <c r="K4" t="s">
        <v>74</v>
      </c>
      <c r="L4" t="s">
        <v>74</v>
      </c>
      <c r="M4" t="s">
        <v>77</v>
      </c>
      <c r="N4" t="s">
        <v>78</v>
      </c>
      <c r="O4" t="s">
        <v>74</v>
      </c>
      <c r="P4" t="s">
        <v>74</v>
      </c>
      <c r="Q4" t="s">
        <v>74</v>
      </c>
      <c r="R4" t="s">
        <v>74</v>
      </c>
      <c r="S4" t="s">
        <v>74</v>
      </c>
      <c r="T4" t="s">
        <v>74</v>
      </c>
      <c r="U4" t="s">
        <v>113</v>
      </c>
      <c r="V4" t="s">
        <v>114</v>
      </c>
      <c r="W4" t="s">
        <v>115</v>
      </c>
      <c r="X4" t="s">
        <v>116</v>
      </c>
      <c r="Y4" t="s">
        <v>117</v>
      </c>
      <c r="Z4" t="s">
        <v>74</v>
      </c>
      <c r="AA4" t="s">
        <v>108</v>
      </c>
      <c r="AB4" t="s">
        <v>74</v>
      </c>
      <c r="AC4" t="s">
        <v>74</v>
      </c>
      <c r="AD4" t="s">
        <v>74</v>
      </c>
      <c r="AE4" t="s">
        <v>74</v>
      </c>
      <c r="AF4" t="s">
        <v>74</v>
      </c>
      <c r="AG4">
        <v>14</v>
      </c>
      <c r="AH4">
        <v>19</v>
      </c>
      <c r="AI4">
        <v>20</v>
      </c>
      <c r="AJ4">
        <v>0</v>
      </c>
      <c r="AK4">
        <v>1</v>
      </c>
      <c r="AL4" t="s">
        <v>86</v>
      </c>
      <c r="AM4" t="s">
        <v>87</v>
      </c>
      <c r="AN4" t="s">
        <v>88</v>
      </c>
      <c r="AO4" t="s">
        <v>89</v>
      </c>
      <c r="AP4" t="s">
        <v>74</v>
      </c>
      <c r="AQ4" t="s">
        <v>74</v>
      </c>
      <c r="AR4" t="s">
        <v>91</v>
      </c>
      <c r="AS4" t="s">
        <v>92</v>
      </c>
      <c r="AT4" t="s">
        <v>93</v>
      </c>
      <c r="AU4">
        <v>1999</v>
      </c>
      <c r="AV4">
        <v>14</v>
      </c>
      <c r="AW4">
        <v>6</v>
      </c>
      <c r="AX4">
        <v>1</v>
      </c>
      <c r="AY4" t="s">
        <v>74</v>
      </c>
      <c r="AZ4" t="s">
        <v>74</v>
      </c>
      <c r="BA4" t="s">
        <v>74</v>
      </c>
      <c r="BB4">
        <v>920</v>
      </c>
      <c r="BC4">
        <v>929</v>
      </c>
      <c r="BD4" t="s">
        <v>74</v>
      </c>
      <c r="BE4" t="s">
        <v>118</v>
      </c>
      <c r="BF4" t="str">
        <f>HYPERLINK("http://dx.doi.org/10.1175/1520-0434(1999)014&lt;0920:OTDOWS&gt;2.0.CO;2","http://dx.doi.org/10.1175/1520-0434(1999)014&lt;0920:OTDOWS&gt;2.0.CO;2")</f>
        <v>http://dx.doi.org/10.1175/1520-0434(1999)014&lt;0920:OTDOWS&gt;2.0.CO;2</v>
      </c>
      <c r="BG4" t="s">
        <v>74</v>
      </c>
      <c r="BH4" t="s">
        <v>74</v>
      </c>
      <c r="BI4">
        <v>10</v>
      </c>
      <c r="BJ4" t="s">
        <v>95</v>
      </c>
      <c r="BK4" t="s">
        <v>96</v>
      </c>
      <c r="BL4" t="s">
        <v>95</v>
      </c>
      <c r="BM4" t="s">
        <v>97</v>
      </c>
      <c r="BN4" t="s">
        <v>74</v>
      </c>
      <c r="BO4" t="s">
        <v>98</v>
      </c>
      <c r="BP4" t="s">
        <v>74</v>
      </c>
      <c r="BQ4" t="s">
        <v>74</v>
      </c>
      <c r="BR4" t="s">
        <v>99</v>
      </c>
      <c r="BS4" t="s">
        <v>119</v>
      </c>
      <c r="BT4" t="str">
        <f>HYPERLINK("https%3A%2F%2Fwww.webofscience.com%2Fwos%2Fwoscc%2Ffull-record%2FWOS:000084380600010","View Full Record in Web of Science")</f>
        <v>View Full Record in Web of Science</v>
      </c>
    </row>
    <row r="5" spans="1:72" x14ac:dyDescent="0.15">
      <c r="A5" t="s">
        <v>72</v>
      </c>
      <c r="B5" t="s">
        <v>120</v>
      </c>
      <c r="C5" t="s">
        <v>74</v>
      </c>
      <c r="D5" t="s">
        <v>74</v>
      </c>
      <c r="E5" t="s">
        <v>74</v>
      </c>
      <c r="F5" t="s">
        <v>120</v>
      </c>
      <c r="G5" t="s">
        <v>74</v>
      </c>
      <c r="H5" t="s">
        <v>74</v>
      </c>
      <c r="I5" t="s">
        <v>121</v>
      </c>
      <c r="J5" t="s">
        <v>122</v>
      </c>
      <c r="K5" t="s">
        <v>74</v>
      </c>
      <c r="L5" t="s">
        <v>74</v>
      </c>
      <c r="M5" t="s">
        <v>77</v>
      </c>
      <c r="N5" t="s">
        <v>123</v>
      </c>
      <c r="O5" t="s">
        <v>124</v>
      </c>
      <c r="P5" t="s">
        <v>125</v>
      </c>
      <c r="Q5" t="s">
        <v>126</v>
      </c>
      <c r="R5" t="s">
        <v>74</v>
      </c>
      <c r="S5" t="s">
        <v>74</v>
      </c>
      <c r="T5" t="s">
        <v>127</v>
      </c>
      <c r="U5" t="s">
        <v>128</v>
      </c>
      <c r="V5" t="s">
        <v>129</v>
      </c>
      <c r="W5" t="s">
        <v>130</v>
      </c>
      <c r="X5" t="s">
        <v>131</v>
      </c>
      <c r="Y5" t="s">
        <v>132</v>
      </c>
      <c r="Z5" t="s">
        <v>74</v>
      </c>
      <c r="AA5" t="s">
        <v>133</v>
      </c>
      <c r="AB5" t="s">
        <v>134</v>
      </c>
      <c r="AC5" t="s">
        <v>74</v>
      </c>
      <c r="AD5" t="s">
        <v>74</v>
      </c>
      <c r="AE5" t="s">
        <v>74</v>
      </c>
      <c r="AF5" t="s">
        <v>74</v>
      </c>
      <c r="AG5">
        <v>25</v>
      </c>
      <c r="AH5">
        <v>29</v>
      </c>
      <c r="AI5">
        <v>30</v>
      </c>
      <c r="AJ5">
        <v>1</v>
      </c>
      <c r="AK5">
        <v>19</v>
      </c>
      <c r="AL5" t="s">
        <v>135</v>
      </c>
      <c r="AM5" t="s">
        <v>136</v>
      </c>
      <c r="AN5" t="s">
        <v>137</v>
      </c>
      <c r="AO5" t="s">
        <v>138</v>
      </c>
      <c r="AP5" t="s">
        <v>74</v>
      </c>
      <c r="AQ5" t="s">
        <v>74</v>
      </c>
      <c r="AR5" t="s">
        <v>139</v>
      </c>
      <c r="AS5" t="s">
        <v>140</v>
      </c>
      <c r="AT5" t="s">
        <v>93</v>
      </c>
      <c r="AU5">
        <v>1999</v>
      </c>
      <c r="AV5">
        <v>238</v>
      </c>
      <c r="AW5" t="s">
        <v>141</v>
      </c>
      <c r="AX5" t="s">
        <v>74</v>
      </c>
      <c r="AY5" t="s">
        <v>74</v>
      </c>
      <c r="AZ5" t="s">
        <v>74</v>
      </c>
      <c r="BA5" t="s">
        <v>74</v>
      </c>
      <c r="BB5">
        <v>211</v>
      </c>
      <c r="BC5">
        <v>214</v>
      </c>
      <c r="BD5" t="s">
        <v>74</v>
      </c>
      <c r="BE5" t="s">
        <v>74</v>
      </c>
      <c r="BF5" t="s">
        <v>74</v>
      </c>
      <c r="BG5" t="s">
        <v>74</v>
      </c>
      <c r="BH5" t="s">
        <v>74</v>
      </c>
      <c r="BI5">
        <v>4</v>
      </c>
      <c r="BJ5" t="s">
        <v>142</v>
      </c>
      <c r="BK5" t="s">
        <v>143</v>
      </c>
      <c r="BL5" t="s">
        <v>142</v>
      </c>
      <c r="BM5" t="s">
        <v>144</v>
      </c>
      <c r="BN5" t="s">
        <v>74</v>
      </c>
      <c r="BO5" t="s">
        <v>74</v>
      </c>
      <c r="BP5" t="s">
        <v>74</v>
      </c>
      <c r="BQ5" t="s">
        <v>74</v>
      </c>
      <c r="BR5" t="s">
        <v>99</v>
      </c>
      <c r="BS5" t="s">
        <v>145</v>
      </c>
      <c r="BT5" t="str">
        <f>HYPERLINK("https%3A%2F%2Fwww.webofscience.com%2Fwos%2Fwoscc%2Ffull-record%2FWOS:000084898500010","View Full Record in Web of Science")</f>
        <v>View Full Record in Web of Science</v>
      </c>
    </row>
    <row r="6" spans="1:72" x14ac:dyDescent="0.15">
      <c r="A6" t="s">
        <v>72</v>
      </c>
      <c r="B6" t="s">
        <v>146</v>
      </c>
      <c r="C6" t="s">
        <v>74</v>
      </c>
      <c r="D6" t="s">
        <v>74</v>
      </c>
      <c r="E6" t="s">
        <v>74</v>
      </c>
      <c r="F6" t="s">
        <v>146</v>
      </c>
      <c r="G6" t="s">
        <v>74</v>
      </c>
      <c r="H6" t="s">
        <v>74</v>
      </c>
      <c r="I6" t="s">
        <v>147</v>
      </c>
      <c r="J6" t="s">
        <v>122</v>
      </c>
      <c r="K6" t="s">
        <v>74</v>
      </c>
      <c r="L6" t="s">
        <v>74</v>
      </c>
      <c r="M6" t="s">
        <v>77</v>
      </c>
      <c r="N6" t="s">
        <v>123</v>
      </c>
      <c r="O6" t="s">
        <v>124</v>
      </c>
      <c r="P6" t="s">
        <v>125</v>
      </c>
      <c r="Q6" t="s">
        <v>126</v>
      </c>
      <c r="R6" t="s">
        <v>74</v>
      </c>
      <c r="S6" t="s">
        <v>74</v>
      </c>
      <c r="T6" t="s">
        <v>148</v>
      </c>
      <c r="U6" t="s">
        <v>149</v>
      </c>
      <c r="V6" t="s">
        <v>150</v>
      </c>
      <c r="W6" t="s">
        <v>151</v>
      </c>
      <c r="X6" t="s">
        <v>131</v>
      </c>
      <c r="Y6" t="s">
        <v>152</v>
      </c>
      <c r="Z6" t="s">
        <v>74</v>
      </c>
      <c r="AA6" t="s">
        <v>133</v>
      </c>
      <c r="AB6" t="s">
        <v>134</v>
      </c>
      <c r="AC6" t="s">
        <v>74</v>
      </c>
      <c r="AD6" t="s">
        <v>74</v>
      </c>
      <c r="AE6" t="s">
        <v>74</v>
      </c>
      <c r="AF6" t="s">
        <v>74</v>
      </c>
      <c r="AG6">
        <v>29</v>
      </c>
      <c r="AH6">
        <v>15</v>
      </c>
      <c r="AI6">
        <v>16</v>
      </c>
      <c r="AJ6">
        <v>0</v>
      </c>
      <c r="AK6">
        <v>3</v>
      </c>
      <c r="AL6" t="s">
        <v>153</v>
      </c>
      <c r="AM6" t="s">
        <v>154</v>
      </c>
      <c r="AN6" t="s">
        <v>155</v>
      </c>
      <c r="AO6" t="s">
        <v>138</v>
      </c>
      <c r="AP6" t="s">
        <v>74</v>
      </c>
      <c r="AQ6" t="s">
        <v>74</v>
      </c>
      <c r="AR6" t="s">
        <v>139</v>
      </c>
      <c r="AS6" t="s">
        <v>140</v>
      </c>
      <c r="AT6" t="s">
        <v>93</v>
      </c>
      <c r="AU6">
        <v>1999</v>
      </c>
      <c r="AV6">
        <v>238</v>
      </c>
      <c r="AW6" t="s">
        <v>141</v>
      </c>
      <c r="AX6" t="s">
        <v>74</v>
      </c>
      <c r="AY6" t="s">
        <v>74</v>
      </c>
      <c r="AZ6" t="s">
        <v>74</v>
      </c>
      <c r="BA6" t="s">
        <v>74</v>
      </c>
      <c r="BB6">
        <v>283</v>
      </c>
      <c r="BC6">
        <v>288</v>
      </c>
      <c r="BD6" t="s">
        <v>74</v>
      </c>
      <c r="BE6" t="s">
        <v>74</v>
      </c>
      <c r="BF6" t="s">
        <v>74</v>
      </c>
      <c r="BG6" t="s">
        <v>74</v>
      </c>
      <c r="BH6" t="s">
        <v>74</v>
      </c>
      <c r="BI6">
        <v>6</v>
      </c>
      <c r="BJ6" t="s">
        <v>142</v>
      </c>
      <c r="BK6" t="s">
        <v>156</v>
      </c>
      <c r="BL6" t="s">
        <v>142</v>
      </c>
      <c r="BM6" t="s">
        <v>144</v>
      </c>
      <c r="BN6" t="s">
        <v>74</v>
      </c>
      <c r="BO6" t="s">
        <v>74</v>
      </c>
      <c r="BP6" t="s">
        <v>74</v>
      </c>
      <c r="BQ6" t="s">
        <v>74</v>
      </c>
      <c r="BR6" t="s">
        <v>99</v>
      </c>
      <c r="BS6" t="s">
        <v>157</v>
      </c>
      <c r="BT6" t="str">
        <f>HYPERLINK("https%3A%2F%2Fwww.webofscience.com%2Fwos%2Fwoscc%2Ffull-record%2FWOS:000084898500016","View Full Record in Web of Science")</f>
        <v>View Full Record in Web of Science</v>
      </c>
    </row>
    <row r="7" spans="1:72" x14ac:dyDescent="0.15">
      <c r="A7" t="s">
        <v>72</v>
      </c>
      <c r="B7" t="s">
        <v>158</v>
      </c>
      <c r="C7" t="s">
        <v>74</v>
      </c>
      <c r="D7" t="s">
        <v>74</v>
      </c>
      <c r="E7" t="s">
        <v>74</v>
      </c>
      <c r="F7" t="s">
        <v>158</v>
      </c>
      <c r="G7" t="s">
        <v>74</v>
      </c>
      <c r="H7" t="s">
        <v>74</v>
      </c>
      <c r="I7" t="s">
        <v>159</v>
      </c>
      <c r="J7" t="s">
        <v>122</v>
      </c>
      <c r="K7" t="s">
        <v>74</v>
      </c>
      <c r="L7" t="s">
        <v>74</v>
      </c>
      <c r="M7" t="s">
        <v>77</v>
      </c>
      <c r="N7" t="s">
        <v>123</v>
      </c>
      <c r="O7" t="s">
        <v>124</v>
      </c>
      <c r="P7" t="s">
        <v>125</v>
      </c>
      <c r="Q7" t="s">
        <v>126</v>
      </c>
      <c r="R7" t="s">
        <v>74</v>
      </c>
      <c r="S7" t="s">
        <v>74</v>
      </c>
      <c r="T7" t="s">
        <v>160</v>
      </c>
      <c r="U7" t="s">
        <v>161</v>
      </c>
      <c r="V7" t="s">
        <v>162</v>
      </c>
      <c r="W7" t="s">
        <v>163</v>
      </c>
      <c r="X7" t="s">
        <v>164</v>
      </c>
      <c r="Y7" t="s">
        <v>165</v>
      </c>
      <c r="Z7" t="s">
        <v>74</v>
      </c>
      <c r="AA7" t="s">
        <v>166</v>
      </c>
      <c r="AB7" t="s">
        <v>167</v>
      </c>
      <c r="AC7" t="s">
        <v>74</v>
      </c>
      <c r="AD7" t="s">
        <v>74</v>
      </c>
      <c r="AE7" t="s">
        <v>74</v>
      </c>
      <c r="AF7" t="s">
        <v>74</v>
      </c>
      <c r="AG7">
        <v>27</v>
      </c>
      <c r="AH7">
        <v>13</v>
      </c>
      <c r="AI7">
        <v>14</v>
      </c>
      <c r="AJ7">
        <v>0</v>
      </c>
      <c r="AK7">
        <v>3</v>
      </c>
      <c r="AL7" t="s">
        <v>135</v>
      </c>
      <c r="AM7" t="s">
        <v>136</v>
      </c>
      <c r="AN7" t="s">
        <v>137</v>
      </c>
      <c r="AO7" t="s">
        <v>138</v>
      </c>
      <c r="AP7" t="s">
        <v>74</v>
      </c>
      <c r="AQ7" t="s">
        <v>74</v>
      </c>
      <c r="AR7" t="s">
        <v>139</v>
      </c>
      <c r="AS7" t="s">
        <v>140</v>
      </c>
      <c r="AT7" t="s">
        <v>93</v>
      </c>
      <c r="AU7">
        <v>1999</v>
      </c>
      <c r="AV7">
        <v>238</v>
      </c>
      <c r="AW7" t="s">
        <v>141</v>
      </c>
      <c r="AX7" t="s">
        <v>74</v>
      </c>
      <c r="AY7" t="s">
        <v>74</v>
      </c>
      <c r="AZ7" t="s">
        <v>74</v>
      </c>
      <c r="BA7" t="s">
        <v>74</v>
      </c>
      <c r="BB7">
        <v>289</v>
      </c>
      <c r="BC7">
        <v>294</v>
      </c>
      <c r="BD7" t="s">
        <v>74</v>
      </c>
      <c r="BE7" t="s">
        <v>74</v>
      </c>
      <c r="BF7" t="s">
        <v>74</v>
      </c>
      <c r="BG7" t="s">
        <v>74</v>
      </c>
      <c r="BH7" t="s">
        <v>74</v>
      </c>
      <c r="BI7">
        <v>6</v>
      </c>
      <c r="BJ7" t="s">
        <v>142</v>
      </c>
      <c r="BK7" t="s">
        <v>143</v>
      </c>
      <c r="BL7" t="s">
        <v>142</v>
      </c>
      <c r="BM7" t="s">
        <v>144</v>
      </c>
      <c r="BN7" t="s">
        <v>74</v>
      </c>
      <c r="BO7" t="s">
        <v>74</v>
      </c>
      <c r="BP7" t="s">
        <v>74</v>
      </c>
      <c r="BQ7" t="s">
        <v>74</v>
      </c>
      <c r="BR7" t="s">
        <v>99</v>
      </c>
      <c r="BS7" t="s">
        <v>168</v>
      </c>
      <c r="BT7" t="str">
        <f>HYPERLINK("https%3A%2F%2Fwww.webofscience.com%2Fwos%2Fwoscc%2Ffull-record%2FWOS:000084898500017","View Full Record in Web of Science")</f>
        <v>View Full Record in Web of Science</v>
      </c>
    </row>
    <row r="8" spans="1:72" x14ac:dyDescent="0.15">
      <c r="A8" t="s">
        <v>72</v>
      </c>
      <c r="B8" t="s">
        <v>169</v>
      </c>
      <c r="C8" t="s">
        <v>74</v>
      </c>
      <c r="D8" t="s">
        <v>74</v>
      </c>
      <c r="E8" t="s">
        <v>74</v>
      </c>
      <c r="F8" t="s">
        <v>169</v>
      </c>
      <c r="G8" t="s">
        <v>74</v>
      </c>
      <c r="H8" t="s">
        <v>74</v>
      </c>
      <c r="I8" t="s">
        <v>170</v>
      </c>
      <c r="J8" t="s">
        <v>122</v>
      </c>
      <c r="K8" t="s">
        <v>74</v>
      </c>
      <c r="L8" t="s">
        <v>74</v>
      </c>
      <c r="M8" t="s">
        <v>77</v>
      </c>
      <c r="N8" t="s">
        <v>123</v>
      </c>
      <c r="O8" t="s">
        <v>124</v>
      </c>
      <c r="P8" t="s">
        <v>125</v>
      </c>
      <c r="Q8" t="s">
        <v>126</v>
      </c>
      <c r="R8" t="s">
        <v>74</v>
      </c>
      <c r="S8" t="s">
        <v>74</v>
      </c>
      <c r="T8" t="s">
        <v>171</v>
      </c>
      <c r="U8" t="s">
        <v>172</v>
      </c>
      <c r="V8" t="s">
        <v>173</v>
      </c>
      <c r="W8" t="s">
        <v>174</v>
      </c>
      <c r="X8" t="s">
        <v>175</v>
      </c>
      <c r="Y8" t="s">
        <v>176</v>
      </c>
      <c r="Z8" t="s">
        <v>74</v>
      </c>
      <c r="AA8" t="s">
        <v>74</v>
      </c>
      <c r="AB8" t="s">
        <v>74</v>
      </c>
      <c r="AC8" t="s">
        <v>74</v>
      </c>
      <c r="AD8" t="s">
        <v>74</v>
      </c>
      <c r="AE8" t="s">
        <v>74</v>
      </c>
      <c r="AF8" t="s">
        <v>74</v>
      </c>
      <c r="AG8">
        <v>28</v>
      </c>
      <c r="AH8">
        <v>15</v>
      </c>
      <c r="AI8">
        <v>17</v>
      </c>
      <c r="AJ8">
        <v>0</v>
      </c>
      <c r="AK8">
        <v>2</v>
      </c>
      <c r="AL8" t="s">
        <v>135</v>
      </c>
      <c r="AM8" t="s">
        <v>136</v>
      </c>
      <c r="AN8" t="s">
        <v>137</v>
      </c>
      <c r="AO8" t="s">
        <v>138</v>
      </c>
      <c r="AP8" t="s">
        <v>74</v>
      </c>
      <c r="AQ8" t="s">
        <v>74</v>
      </c>
      <c r="AR8" t="s">
        <v>139</v>
      </c>
      <c r="AS8" t="s">
        <v>140</v>
      </c>
      <c r="AT8" t="s">
        <v>93</v>
      </c>
      <c r="AU8">
        <v>1999</v>
      </c>
      <c r="AV8">
        <v>238</v>
      </c>
      <c r="AW8" t="s">
        <v>141</v>
      </c>
      <c r="AX8" t="s">
        <v>74</v>
      </c>
      <c r="AY8" t="s">
        <v>74</v>
      </c>
      <c r="AZ8" t="s">
        <v>74</v>
      </c>
      <c r="BA8" t="s">
        <v>74</v>
      </c>
      <c r="BB8">
        <v>303</v>
      </c>
      <c r="BC8">
        <v>309</v>
      </c>
      <c r="BD8" t="s">
        <v>74</v>
      </c>
      <c r="BE8" t="s">
        <v>74</v>
      </c>
      <c r="BF8" t="s">
        <v>74</v>
      </c>
      <c r="BG8" t="s">
        <v>74</v>
      </c>
      <c r="BH8" t="s">
        <v>74</v>
      </c>
      <c r="BI8">
        <v>7</v>
      </c>
      <c r="BJ8" t="s">
        <v>142</v>
      </c>
      <c r="BK8" t="s">
        <v>143</v>
      </c>
      <c r="BL8" t="s">
        <v>142</v>
      </c>
      <c r="BM8" t="s">
        <v>144</v>
      </c>
      <c r="BN8" t="s">
        <v>74</v>
      </c>
      <c r="BO8" t="s">
        <v>74</v>
      </c>
      <c r="BP8" t="s">
        <v>74</v>
      </c>
      <c r="BQ8" t="s">
        <v>74</v>
      </c>
      <c r="BR8" t="s">
        <v>99</v>
      </c>
      <c r="BS8" t="s">
        <v>177</v>
      </c>
      <c r="BT8" t="str">
        <f>HYPERLINK("https%3A%2F%2Fwww.webofscience.com%2Fwos%2Fwoscc%2Ffull-record%2FWOS:000084898500019","View Full Record in Web of Science")</f>
        <v>View Full Record in Web of Science</v>
      </c>
    </row>
    <row r="9" spans="1:72" x14ac:dyDescent="0.15">
      <c r="A9" t="s">
        <v>72</v>
      </c>
      <c r="B9" t="s">
        <v>178</v>
      </c>
      <c r="C9" t="s">
        <v>74</v>
      </c>
      <c r="D9" t="s">
        <v>74</v>
      </c>
      <c r="E9" t="s">
        <v>74</v>
      </c>
      <c r="F9" t="s">
        <v>178</v>
      </c>
      <c r="G9" t="s">
        <v>74</v>
      </c>
      <c r="H9" t="s">
        <v>74</v>
      </c>
      <c r="I9" t="s">
        <v>179</v>
      </c>
      <c r="J9" t="s">
        <v>180</v>
      </c>
      <c r="K9" t="s">
        <v>74</v>
      </c>
      <c r="L9" t="s">
        <v>74</v>
      </c>
      <c r="M9" t="s">
        <v>77</v>
      </c>
      <c r="N9" t="s">
        <v>78</v>
      </c>
      <c r="O9" t="s">
        <v>74</v>
      </c>
      <c r="P9" t="s">
        <v>74</v>
      </c>
      <c r="Q9" t="s">
        <v>74</v>
      </c>
      <c r="R9" t="s">
        <v>74</v>
      </c>
      <c r="S9" t="s">
        <v>74</v>
      </c>
      <c r="T9" t="s">
        <v>181</v>
      </c>
      <c r="U9" t="s">
        <v>182</v>
      </c>
      <c r="V9" t="s">
        <v>183</v>
      </c>
      <c r="W9" t="s">
        <v>184</v>
      </c>
      <c r="X9" t="s">
        <v>185</v>
      </c>
      <c r="Y9" t="s">
        <v>186</v>
      </c>
      <c r="Z9" t="s">
        <v>74</v>
      </c>
      <c r="AA9" t="s">
        <v>187</v>
      </c>
      <c r="AB9" t="s">
        <v>188</v>
      </c>
      <c r="AC9" t="s">
        <v>74</v>
      </c>
      <c r="AD9" t="s">
        <v>74</v>
      </c>
      <c r="AE9" t="s">
        <v>74</v>
      </c>
      <c r="AF9" t="s">
        <v>74</v>
      </c>
      <c r="AG9">
        <v>46</v>
      </c>
      <c r="AH9">
        <v>28</v>
      </c>
      <c r="AI9">
        <v>31</v>
      </c>
      <c r="AJ9">
        <v>1</v>
      </c>
      <c r="AK9">
        <v>8</v>
      </c>
      <c r="AL9" t="s">
        <v>189</v>
      </c>
      <c r="AM9" t="s">
        <v>190</v>
      </c>
      <c r="AN9" t="s">
        <v>191</v>
      </c>
      <c r="AO9" t="s">
        <v>192</v>
      </c>
      <c r="AP9" t="s">
        <v>74</v>
      </c>
      <c r="AQ9" t="s">
        <v>74</v>
      </c>
      <c r="AR9" t="s">
        <v>193</v>
      </c>
      <c r="AS9" t="s">
        <v>194</v>
      </c>
      <c r="AT9" t="s">
        <v>195</v>
      </c>
      <c r="AU9">
        <v>1999</v>
      </c>
      <c r="AV9">
        <v>20</v>
      </c>
      <c r="AW9">
        <v>1</v>
      </c>
      <c r="AX9" t="s">
        <v>74</v>
      </c>
      <c r="AY9" t="s">
        <v>74</v>
      </c>
      <c r="AZ9" t="s">
        <v>74</v>
      </c>
      <c r="BA9" t="s">
        <v>74</v>
      </c>
      <c r="BB9">
        <v>49</v>
      </c>
      <c r="BC9">
        <v>58</v>
      </c>
      <c r="BD9" t="s">
        <v>74</v>
      </c>
      <c r="BE9" t="s">
        <v>196</v>
      </c>
      <c r="BF9" t="str">
        <f>HYPERLINK("http://dx.doi.org/10.3354/ame020049","http://dx.doi.org/10.3354/ame020049")</f>
        <v>http://dx.doi.org/10.3354/ame020049</v>
      </c>
      <c r="BG9" t="s">
        <v>74</v>
      </c>
      <c r="BH9" t="s">
        <v>74</v>
      </c>
      <c r="BI9">
        <v>10</v>
      </c>
      <c r="BJ9" t="s">
        <v>197</v>
      </c>
      <c r="BK9" t="s">
        <v>96</v>
      </c>
      <c r="BL9" t="s">
        <v>198</v>
      </c>
      <c r="BM9" t="s">
        <v>199</v>
      </c>
      <c r="BN9" t="s">
        <v>74</v>
      </c>
      <c r="BO9" t="s">
        <v>200</v>
      </c>
      <c r="BP9" t="s">
        <v>74</v>
      </c>
      <c r="BQ9" t="s">
        <v>74</v>
      </c>
      <c r="BR9" t="s">
        <v>99</v>
      </c>
      <c r="BS9" t="s">
        <v>201</v>
      </c>
      <c r="BT9" t="str">
        <f>HYPERLINK("https%3A%2F%2Fwww.webofscience.com%2Fwos%2Fwoscc%2Ffull-record%2FWOS:000084181800006","View Full Record in Web of Science")</f>
        <v>View Full Record in Web of Science</v>
      </c>
    </row>
    <row r="10" spans="1:72" x14ac:dyDescent="0.15">
      <c r="A10" t="s">
        <v>72</v>
      </c>
      <c r="B10" t="s">
        <v>202</v>
      </c>
      <c r="C10" t="s">
        <v>74</v>
      </c>
      <c r="D10" t="s">
        <v>74</v>
      </c>
      <c r="E10" t="s">
        <v>74</v>
      </c>
      <c r="F10" t="s">
        <v>202</v>
      </c>
      <c r="G10" t="s">
        <v>74</v>
      </c>
      <c r="H10" t="s">
        <v>74</v>
      </c>
      <c r="I10" t="s">
        <v>203</v>
      </c>
      <c r="J10" t="s">
        <v>204</v>
      </c>
      <c r="K10" t="s">
        <v>74</v>
      </c>
      <c r="L10" t="s">
        <v>74</v>
      </c>
      <c r="M10" t="s">
        <v>77</v>
      </c>
      <c r="N10" t="s">
        <v>205</v>
      </c>
      <c r="O10" t="s">
        <v>74</v>
      </c>
      <c r="P10" t="s">
        <v>74</v>
      </c>
      <c r="Q10" t="s">
        <v>74</v>
      </c>
      <c r="R10" t="s">
        <v>74</v>
      </c>
      <c r="S10" t="s">
        <v>74</v>
      </c>
      <c r="T10" t="s">
        <v>74</v>
      </c>
      <c r="U10" t="s">
        <v>206</v>
      </c>
      <c r="V10" t="s">
        <v>74</v>
      </c>
      <c r="W10" t="s">
        <v>207</v>
      </c>
      <c r="X10" t="s">
        <v>208</v>
      </c>
      <c r="Y10" t="s">
        <v>209</v>
      </c>
      <c r="Z10" t="s">
        <v>74</v>
      </c>
      <c r="AA10" t="s">
        <v>74</v>
      </c>
      <c r="AB10" t="s">
        <v>74</v>
      </c>
      <c r="AC10" t="s">
        <v>74</v>
      </c>
      <c r="AD10" t="s">
        <v>74</v>
      </c>
      <c r="AE10" t="s">
        <v>74</v>
      </c>
      <c r="AF10" t="s">
        <v>74</v>
      </c>
      <c r="AG10">
        <v>16</v>
      </c>
      <c r="AH10">
        <v>2</v>
      </c>
      <c r="AI10">
        <v>2</v>
      </c>
      <c r="AJ10">
        <v>0</v>
      </c>
      <c r="AK10">
        <v>0</v>
      </c>
      <c r="AL10" t="s">
        <v>210</v>
      </c>
      <c r="AM10" t="s">
        <v>211</v>
      </c>
      <c r="AN10" t="s">
        <v>212</v>
      </c>
      <c r="AO10" t="s">
        <v>213</v>
      </c>
      <c r="AP10" t="s">
        <v>74</v>
      </c>
      <c r="AQ10" t="s">
        <v>74</v>
      </c>
      <c r="AR10" t="s">
        <v>204</v>
      </c>
      <c r="AS10" t="s">
        <v>214</v>
      </c>
      <c r="AT10" t="s">
        <v>195</v>
      </c>
      <c r="AU10">
        <v>1999</v>
      </c>
      <c r="AV10">
        <v>313</v>
      </c>
      <c r="AW10">
        <v>4</v>
      </c>
      <c r="AX10" t="s">
        <v>74</v>
      </c>
      <c r="AY10" t="s">
        <v>74</v>
      </c>
      <c r="AZ10" t="s">
        <v>74</v>
      </c>
      <c r="BA10" t="s">
        <v>74</v>
      </c>
      <c r="BB10">
        <v>463</v>
      </c>
      <c r="BC10">
        <v>466</v>
      </c>
      <c r="BD10" t="s">
        <v>74</v>
      </c>
      <c r="BE10" t="s">
        <v>215</v>
      </c>
      <c r="BF10" t="str">
        <f>HYPERLINK("http://dx.doi.org/10.1016/S0040-1951(99)00218-8","http://dx.doi.org/10.1016/S0040-1951(99)00218-8")</f>
        <v>http://dx.doi.org/10.1016/S0040-1951(99)00218-8</v>
      </c>
      <c r="BG10" t="s">
        <v>74</v>
      </c>
      <c r="BH10" t="s">
        <v>74</v>
      </c>
      <c r="BI10">
        <v>4</v>
      </c>
      <c r="BJ10" t="s">
        <v>216</v>
      </c>
      <c r="BK10" t="s">
        <v>96</v>
      </c>
      <c r="BL10" t="s">
        <v>216</v>
      </c>
      <c r="BM10" t="s">
        <v>217</v>
      </c>
      <c r="BN10" t="s">
        <v>74</v>
      </c>
      <c r="BO10" t="s">
        <v>74</v>
      </c>
      <c r="BP10" t="s">
        <v>74</v>
      </c>
      <c r="BQ10" t="s">
        <v>74</v>
      </c>
      <c r="BR10" t="s">
        <v>99</v>
      </c>
      <c r="BS10" t="s">
        <v>218</v>
      </c>
      <c r="BT10" t="str">
        <f>HYPERLINK("https%3A%2F%2Fwww.webofscience.com%2Fwos%2Fwoscc%2Ffull-record%2FWOS:000084524400008","View Full Record in Web of Science")</f>
        <v>View Full Record in Web of Science</v>
      </c>
    </row>
    <row r="11" spans="1:72" x14ac:dyDescent="0.15">
      <c r="A11" t="s">
        <v>72</v>
      </c>
      <c r="B11" t="s">
        <v>219</v>
      </c>
      <c r="C11" t="s">
        <v>74</v>
      </c>
      <c r="D11" t="s">
        <v>74</v>
      </c>
      <c r="E11" t="s">
        <v>74</v>
      </c>
      <c r="F11" t="s">
        <v>219</v>
      </c>
      <c r="G11" t="s">
        <v>74</v>
      </c>
      <c r="H11" t="s">
        <v>74</v>
      </c>
      <c r="I11" t="s">
        <v>220</v>
      </c>
      <c r="J11" t="s">
        <v>221</v>
      </c>
      <c r="K11" t="s">
        <v>74</v>
      </c>
      <c r="L11" t="s">
        <v>74</v>
      </c>
      <c r="M11" t="s">
        <v>77</v>
      </c>
      <c r="N11" t="s">
        <v>78</v>
      </c>
      <c r="O11" t="s">
        <v>74</v>
      </c>
      <c r="P11" t="s">
        <v>74</v>
      </c>
      <c r="Q11" t="s">
        <v>74</v>
      </c>
      <c r="R11" t="s">
        <v>74</v>
      </c>
      <c r="S11" t="s">
        <v>74</v>
      </c>
      <c r="T11" t="s">
        <v>74</v>
      </c>
      <c r="U11" t="s">
        <v>222</v>
      </c>
      <c r="V11" t="s">
        <v>223</v>
      </c>
      <c r="W11" t="s">
        <v>224</v>
      </c>
      <c r="X11" t="s">
        <v>225</v>
      </c>
      <c r="Y11" t="s">
        <v>226</v>
      </c>
      <c r="Z11" t="s">
        <v>227</v>
      </c>
      <c r="AA11" t="s">
        <v>228</v>
      </c>
      <c r="AB11" t="s">
        <v>229</v>
      </c>
      <c r="AC11" t="s">
        <v>74</v>
      </c>
      <c r="AD11" t="s">
        <v>74</v>
      </c>
      <c r="AE11" t="s">
        <v>74</v>
      </c>
      <c r="AF11" t="s">
        <v>74</v>
      </c>
      <c r="AG11">
        <v>18</v>
      </c>
      <c r="AH11">
        <v>188</v>
      </c>
      <c r="AI11">
        <v>201</v>
      </c>
      <c r="AJ11">
        <v>2</v>
      </c>
      <c r="AK11">
        <v>26</v>
      </c>
      <c r="AL11" t="s">
        <v>230</v>
      </c>
      <c r="AM11" t="s">
        <v>231</v>
      </c>
      <c r="AN11" t="s">
        <v>232</v>
      </c>
      <c r="AO11" t="s">
        <v>233</v>
      </c>
      <c r="AP11" t="s">
        <v>74</v>
      </c>
      <c r="AQ11" t="s">
        <v>74</v>
      </c>
      <c r="AR11" t="s">
        <v>234</v>
      </c>
      <c r="AS11" t="s">
        <v>235</v>
      </c>
      <c r="AT11" t="s">
        <v>236</v>
      </c>
      <c r="AU11">
        <v>1999</v>
      </c>
      <c r="AV11">
        <v>104</v>
      </c>
      <c r="AW11" t="s">
        <v>237</v>
      </c>
      <c r="AX11" t="s">
        <v>74</v>
      </c>
      <c r="AY11" t="s">
        <v>74</v>
      </c>
      <c r="AZ11" t="s">
        <v>74</v>
      </c>
      <c r="BA11" t="s">
        <v>74</v>
      </c>
      <c r="BB11">
        <v>27191</v>
      </c>
      <c r="BC11">
        <v>27201</v>
      </c>
      <c r="BD11" t="s">
        <v>74</v>
      </c>
      <c r="BE11" t="s">
        <v>238</v>
      </c>
      <c r="BF11" t="str">
        <f>HYPERLINK("http://dx.doi.org/10.1029/1999JD900795","http://dx.doi.org/10.1029/1999JD900795")</f>
        <v>http://dx.doi.org/10.1029/1999JD900795</v>
      </c>
      <c r="BG11" t="s">
        <v>74</v>
      </c>
      <c r="BH11" t="s">
        <v>74</v>
      </c>
      <c r="BI11">
        <v>11</v>
      </c>
      <c r="BJ11" t="s">
        <v>95</v>
      </c>
      <c r="BK11" t="s">
        <v>96</v>
      </c>
      <c r="BL11" t="s">
        <v>95</v>
      </c>
      <c r="BM11" t="s">
        <v>239</v>
      </c>
      <c r="BN11" t="s">
        <v>74</v>
      </c>
      <c r="BO11" t="s">
        <v>74</v>
      </c>
      <c r="BP11" t="s">
        <v>74</v>
      </c>
      <c r="BQ11" t="s">
        <v>74</v>
      </c>
      <c r="BR11" t="s">
        <v>99</v>
      </c>
      <c r="BS11" t="s">
        <v>240</v>
      </c>
      <c r="BT11" t="str">
        <f>HYPERLINK("https%3A%2F%2Fwww.webofscience.com%2Fwos%2Fwoscc%2Ffull-record%2FWOS:000083874700002","View Full Record in Web of Science")</f>
        <v>View Full Record in Web of Science</v>
      </c>
    </row>
    <row r="12" spans="1:72" x14ac:dyDescent="0.15">
      <c r="A12" t="s">
        <v>72</v>
      </c>
      <c r="B12" t="s">
        <v>241</v>
      </c>
      <c r="C12" t="s">
        <v>74</v>
      </c>
      <c r="D12" t="s">
        <v>74</v>
      </c>
      <c r="E12" t="s">
        <v>74</v>
      </c>
      <c r="F12" t="s">
        <v>241</v>
      </c>
      <c r="G12" t="s">
        <v>74</v>
      </c>
      <c r="H12" t="s">
        <v>74</v>
      </c>
      <c r="I12" t="s">
        <v>242</v>
      </c>
      <c r="J12" t="s">
        <v>221</v>
      </c>
      <c r="K12" t="s">
        <v>74</v>
      </c>
      <c r="L12" t="s">
        <v>74</v>
      </c>
      <c r="M12" t="s">
        <v>77</v>
      </c>
      <c r="N12" t="s">
        <v>78</v>
      </c>
      <c r="O12" t="s">
        <v>74</v>
      </c>
      <c r="P12" t="s">
        <v>74</v>
      </c>
      <c r="Q12" t="s">
        <v>74</v>
      </c>
      <c r="R12" t="s">
        <v>74</v>
      </c>
      <c r="S12" t="s">
        <v>74</v>
      </c>
      <c r="T12" t="s">
        <v>74</v>
      </c>
      <c r="U12" t="s">
        <v>243</v>
      </c>
      <c r="V12" t="s">
        <v>244</v>
      </c>
      <c r="W12" t="s">
        <v>245</v>
      </c>
      <c r="X12" t="s">
        <v>246</v>
      </c>
      <c r="Y12" t="s">
        <v>247</v>
      </c>
      <c r="Z12" t="s">
        <v>248</v>
      </c>
      <c r="AA12" t="s">
        <v>74</v>
      </c>
      <c r="AB12" t="s">
        <v>74</v>
      </c>
      <c r="AC12" t="s">
        <v>74</v>
      </c>
      <c r="AD12" t="s">
        <v>74</v>
      </c>
      <c r="AE12" t="s">
        <v>74</v>
      </c>
      <c r="AF12" t="s">
        <v>74</v>
      </c>
      <c r="AG12">
        <v>34</v>
      </c>
      <c r="AH12">
        <v>2</v>
      </c>
      <c r="AI12">
        <v>2</v>
      </c>
      <c r="AJ12">
        <v>0</v>
      </c>
      <c r="AK12">
        <v>1</v>
      </c>
      <c r="AL12" t="s">
        <v>230</v>
      </c>
      <c r="AM12" t="s">
        <v>231</v>
      </c>
      <c r="AN12" t="s">
        <v>232</v>
      </c>
      <c r="AO12" t="s">
        <v>233</v>
      </c>
      <c r="AP12" t="s">
        <v>74</v>
      </c>
      <c r="AQ12" t="s">
        <v>74</v>
      </c>
      <c r="AR12" t="s">
        <v>234</v>
      </c>
      <c r="AS12" t="s">
        <v>235</v>
      </c>
      <c r="AT12" t="s">
        <v>236</v>
      </c>
      <c r="AU12">
        <v>1999</v>
      </c>
      <c r="AV12">
        <v>104</v>
      </c>
      <c r="AW12" t="s">
        <v>237</v>
      </c>
      <c r="AX12" t="s">
        <v>74</v>
      </c>
      <c r="AY12" t="s">
        <v>74</v>
      </c>
      <c r="AZ12" t="s">
        <v>74</v>
      </c>
      <c r="BA12" t="s">
        <v>74</v>
      </c>
      <c r="BB12">
        <v>27209</v>
      </c>
      <c r="BC12">
        <v>27215</v>
      </c>
      <c r="BD12" t="s">
        <v>74</v>
      </c>
      <c r="BE12" t="s">
        <v>249</v>
      </c>
      <c r="BF12" t="str">
        <f>HYPERLINK("http://dx.doi.org/10.1029/1999JD900794","http://dx.doi.org/10.1029/1999JD900794")</f>
        <v>http://dx.doi.org/10.1029/1999JD900794</v>
      </c>
      <c r="BG12" t="s">
        <v>74</v>
      </c>
      <c r="BH12" t="s">
        <v>74</v>
      </c>
      <c r="BI12">
        <v>7</v>
      </c>
      <c r="BJ12" t="s">
        <v>95</v>
      </c>
      <c r="BK12" t="s">
        <v>96</v>
      </c>
      <c r="BL12" t="s">
        <v>95</v>
      </c>
      <c r="BM12" t="s">
        <v>239</v>
      </c>
      <c r="BN12" t="s">
        <v>74</v>
      </c>
      <c r="BO12" t="s">
        <v>250</v>
      </c>
      <c r="BP12" t="s">
        <v>74</v>
      </c>
      <c r="BQ12" t="s">
        <v>74</v>
      </c>
      <c r="BR12" t="s">
        <v>99</v>
      </c>
      <c r="BS12" t="s">
        <v>251</v>
      </c>
      <c r="BT12" t="str">
        <f>HYPERLINK("https%3A%2F%2Fwww.webofscience.com%2Fwos%2Fwoscc%2Ffull-record%2FWOS:000083874700004","View Full Record in Web of Science")</f>
        <v>View Full Record in Web of Science</v>
      </c>
    </row>
    <row r="13" spans="1:72" x14ac:dyDescent="0.15">
      <c r="A13" t="s">
        <v>72</v>
      </c>
      <c r="B13" t="s">
        <v>252</v>
      </c>
      <c r="C13" t="s">
        <v>74</v>
      </c>
      <c r="D13" t="s">
        <v>74</v>
      </c>
      <c r="E13" t="s">
        <v>74</v>
      </c>
      <c r="F13" t="s">
        <v>252</v>
      </c>
      <c r="G13" t="s">
        <v>74</v>
      </c>
      <c r="H13" t="s">
        <v>74</v>
      </c>
      <c r="I13" t="s">
        <v>253</v>
      </c>
      <c r="J13" t="s">
        <v>221</v>
      </c>
      <c r="K13" t="s">
        <v>74</v>
      </c>
      <c r="L13" t="s">
        <v>74</v>
      </c>
      <c r="M13" t="s">
        <v>77</v>
      </c>
      <c r="N13" t="s">
        <v>254</v>
      </c>
      <c r="O13" t="s">
        <v>74</v>
      </c>
      <c r="P13" t="s">
        <v>74</v>
      </c>
      <c r="Q13" t="s">
        <v>74</v>
      </c>
      <c r="R13" t="s">
        <v>74</v>
      </c>
      <c r="S13" t="s">
        <v>74</v>
      </c>
      <c r="T13" t="s">
        <v>74</v>
      </c>
      <c r="U13" t="s">
        <v>255</v>
      </c>
      <c r="V13" t="s">
        <v>256</v>
      </c>
      <c r="W13" t="s">
        <v>257</v>
      </c>
      <c r="X13" t="s">
        <v>258</v>
      </c>
      <c r="Y13" t="s">
        <v>259</v>
      </c>
      <c r="Z13" t="s">
        <v>260</v>
      </c>
      <c r="AA13" t="s">
        <v>261</v>
      </c>
      <c r="AB13" t="s">
        <v>262</v>
      </c>
      <c r="AC13" t="s">
        <v>74</v>
      </c>
      <c r="AD13" t="s">
        <v>74</v>
      </c>
      <c r="AE13" t="s">
        <v>74</v>
      </c>
      <c r="AF13" t="s">
        <v>74</v>
      </c>
      <c r="AG13">
        <v>126</v>
      </c>
      <c r="AH13">
        <v>42</v>
      </c>
      <c r="AI13">
        <v>49</v>
      </c>
      <c r="AJ13">
        <v>0</v>
      </c>
      <c r="AK13">
        <v>8</v>
      </c>
      <c r="AL13" t="s">
        <v>230</v>
      </c>
      <c r="AM13" t="s">
        <v>231</v>
      </c>
      <c r="AN13" t="s">
        <v>232</v>
      </c>
      <c r="AO13" t="s">
        <v>233</v>
      </c>
      <c r="AP13" t="s">
        <v>74</v>
      </c>
      <c r="AQ13" t="s">
        <v>74</v>
      </c>
      <c r="AR13" t="s">
        <v>234</v>
      </c>
      <c r="AS13" t="s">
        <v>235</v>
      </c>
      <c r="AT13" t="s">
        <v>236</v>
      </c>
      <c r="AU13">
        <v>1999</v>
      </c>
      <c r="AV13">
        <v>104</v>
      </c>
      <c r="AW13" t="s">
        <v>237</v>
      </c>
      <c r="AX13" t="s">
        <v>74</v>
      </c>
      <c r="AY13" t="s">
        <v>74</v>
      </c>
      <c r="AZ13" t="s">
        <v>74</v>
      </c>
      <c r="BA13" t="s">
        <v>74</v>
      </c>
      <c r="BB13">
        <v>27217</v>
      </c>
      <c r="BC13">
        <v>27251</v>
      </c>
      <c r="BD13" t="s">
        <v>74</v>
      </c>
      <c r="BE13" t="s">
        <v>263</v>
      </c>
      <c r="BF13" t="str">
        <f>HYPERLINK("http://dx.doi.org/10.1029/1999JD900483","http://dx.doi.org/10.1029/1999JD900483")</f>
        <v>http://dx.doi.org/10.1029/1999JD900483</v>
      </c>
      <c r="BG13" t="s">
        <v>74</v>
      </c>
      <c r="BH13" t="s">
        <v>74</v>
      </c>
      <c r="BI13">
        <v>35</v>
      </c>
      <c r="BJ13" t="s">
        <v>95</v>
      </c>
      <c r="BK13" t="s">
        <v>96</v>
      </c>
      <c r="BL13" t="s">
        <v>95</v>
      </c>
      <c r="BM13" t="s">
        <v>239</v>
      </c>
      <c r="BN13" t="s">
        <v>74</v>
      </c>
      <c r="BO13" t="s">
        <v>250</v>
      </c>
      <c r="BP13" t="s">
        <v>74</v>
      </c>
      <c r="BQ13" t="s">
        <v>74</v>
      </c>
      <c r="BR13" t="s">
        <v>99</v>
      </c>
      <c r="BS13" t="s">
        <v>264</v>
      </c>
      <c r="BT13" t="str">
        <f>HYPERLINK("https%3A%2F%2Fwww.webofscience.com%2Fwos%2Fwoscc%2Ffull-record%2FWOS:000083874700005","View Full Record in Web of Science")</f>
        <v>View Full Record in Web of Science</v>
      </c>
    </row>
    <row r="14" spans="1:72" x14ac:dyDescent="0.15">
      <c r="A14" t="s">
        <v>72</v>
      </c>
      <c r="B14" t="s">
        <v>265</v>
      </c>
      <c r="C14" t="s">
        <v>74</v>
      </c>
      <c r="D14" t="s">
        <v>74</v>
      </c>
      <c r="E14" t="s">
        <v>74</v>
      </c>
      <c r="F14" t="s">
        <v>265</v>
      </c>
      <c r="G14" t="s">
        <v>74</v>
      </c>
      <c r="H14" t="s">
        <v>74</v>
      </c>
      <c r="I14" t="s">
        <v>266</v>
      </c>
      <c r="J14" t="s">
        <v>267</v>
      </c>
      <c r="K14" t="s">
        <v>74</v>
      </c>
      <c r="L14" t="s">
        <v>74</v>
      </c>
      <c r="M14" t="s">
        <v>77</v>
      </c>
      <c r="N14" t="s">
        <v>78</v>
      </c>
      <c r="O14" t="s">
        <v>74</v>
      </c>
      <c r="P14" t="s">
        <v>74</v>
      </c>
      <c r="Q14" t="s">
        <v>74</v>
      </c>
      <c r="R14" t="s">
        <v>74</v>
      </c>
      <c r="S14" t="s">
        <v>74</v>
      </c>
      <c r="T14" t="s">
        <v>268</v>
      </c>
      <c r="U14" t="s">
        <v>269</v>
      </c>
      <c r="V14" t="s">
        <v>270</v>
      </c>
      <c r="W14" t="s">
        <v>271</v>
      </c>
      <c r="X14" t="s">
        <v>272</v>
      </c>
      <c r="Y14" t="s">
        <v>273</v>
      </c>
      <c r="Z14" t="s">
        <v>74</v>
      </c>
      <c r="AA14" t="s">
        <v>274</v>
      </c>
      <c r="AB14" t="s">
        <v>74</v>
      </c>
      <c r="AC14" t="s">
        <v>74</v>
      </c>
      <c r="AD14" t="s">
        <v>74</v>
      </c>
      <c r="AE14" t="s">
        <v>74</v>
      </c>
      <c r="AF14" t="s">
        <v>74</v>
      </c>
      <c r="AG14">
        <v>20</v>
      </c>
      <c r="AH14">
        <v>27</v>
      </c>
      <c r="AI14">
        <v>29</v>
      </c>
      <c r="AJ14">
        <v>0</v>
      </c>
      <c r="AK14">
        <v>4</v>
      </c>
      <c r="AL14" t="s">
        <v>275</v>
      </c>
      <c r="AM14" t="s">
        <v>276</v>
      </c>
      <c r="AN14" t="s">
        <v>277</v>
      </c>
      <c r="AO14" t="s">
        <v>278</v>
      </c>
      <c r="AP14" t="s">
        <v>74</v>
      </c>
      <c r="AQ14" t="s">
        <v>74</v>
      </c>
      <c r="AR14" t="s">
        <v>279</v>
      </c>
      <c r="AS14" t="s">
        <v>280</v>
      </c>
      <c r="AT14" t="s">
        <v>281</v>
      </c>
      <c r="AU14">
        <v>1999</v>
      </c>
      <c r="AV14">
        <v>40</v>
      </c>
      <c r="AW14">
        <v>48</v>
      </c>
      <c r="AX14" t="s">
        <v>74</v>
      </c>
      <c r="AY14" t="s">
        <v>74</v>
      </c>
      <c r="AZ14" t="s">
        <v>74</v>
      </c>
      <c r="BA14" t="s">
        <v>74</v>
      </c>
      <c r="BB14">
        <v>8471</v>
      </c>
      <c r="BC14">
        <v>8475</v>
      </c>
      <c r="BD14" t="s">
        <v>74</v>
      </c>
      <c r="BE14" t="s">
        <v>282</v>
      </c>
      <c r="BF14" t="str">
        <f>HYPERLINK("http://dx.doi.org/10.1016/S0040-4039(99)01777-3","http://dx.doi.org/10.1016/S0040-4039(99)01777-3")</f>
        <v>http://dx.doi.org/10.1016/S0040-4039(99)01777-3</v>
      </c>
      <c r="BG14" t="s">
        <v>74</v>
      </c>
      <c r="BH14" t="s">
        <v>74</v>
      </c>
      <c r="BI14">
        <v>5</v>
      </c>
      <c r="BJ14" t="s">
        <v>283</v>
      </c>
      <c r="BK14" t="s">
        <v>284</v>
      </c>
      <c r="BL14" t="s">
        <v>285</v>
      </c>
      <c r="BM14" t="s">
        <v>286</v>
      </c>
      <c r="BN14" t="s">
        <v>74</v>
      </c>
      <c r="BO14" t="s">
        <v>74</v>
      </c>
      <c r="BP14" t="s">
        <v>74</v>
      </c>
      <c r="BQ14" t="s">
        <v>74</v>
      </c>
      <c r="BR14" t="s">
        <v>99</v>
      </c>
      <c r="BS14" t="s">
        <v>287</v>
      </c>
      <c r="BT14" t="str">
        <f>HYPERLINK("https%3A%2F%2Fwww.webofscience.com%2Fwos%2Fwoscc%2Ffull-record%2FWOS:000083545800039","View Full Record in Web of Science")</f>
        <v>View Full Record in Web of Science</v>
      </c>
    </row>
    <row r="15" spans="1:72" x14ac:dyDescent="0.15">
      <c r="A15" t="s">
        <v>72</v>
      </c>
      <c r="B15" t="s">
        <v>288</v>
      </c>
      <c r="C15" t="s">
        <v>74</v>
      </c>
      <c r="D15" t="s">
        <v>74</v>
      </c>
      <c r="E15" t="s">
        <v>74</v>
      </c>
      <c r="F15" t="s">
        <v>288</v>
      </c>
      <c r="G15" t="s">
        <v>74</v>
      </c>
      <c r="H15" t="s">
        <v>74</v>
      </c>
      <c r="I15" t="s">
        <v>289</v>
      </c>
      <c r="J15" t="s">
        <v>290</v>
      </c>
      <c r="K15" t="s">
        <v>74</v>
      </c>
      <c r="L15" t="s">
        <v>74</v>
      </c>
      <c r="M15" t="s">
        <v>77</v>
      </c>
      <c r="N15" t="s">
        <v>78</v>
      </c>
      <c r="O15" t="s">
        <v>74</v>
      </c>
      <c r="P15" t="s">
        <v>74</v>
      </c>
      <c r="Q15" t="s">
        <v>74</v>
      </c>
      <c r="R15" t="s">
        <v>74</v>
      </c>
      <c r="S15" t="s">
        <v>74</v>
      </c>
      <c r="T15" t="s">
        <v>74</v>
      </c>
      <c r="U15" t="s">
        <v>291</v>
      </c>
      <c r="V15" t="s">
        <v>292</v>
      </c>
      <c r="W15" t="s">
        <v>293</v>
      </c>
      <c r="X15" t="s">
        <v>294</v>
      </c>
      <c r="Y15" t="s">
        <v>295</v>
      </c>
      <c r="Z15" t="s">
        <v>74</v>
      </c>
      <c r="AA15" t="s">
        <v>74</v>
      </c>
      <c r="AB15" t="s">
        <v>74</v>
      </c>
      <c r="AC15" t="s">
        <v>74</v>
      </c>
      <c r="AD15" t="s">
        <v>74</v>
      </c>
      <c r="AE15" t="s">
        <v>74</v>
      </c>
      <c r="AF15" t="s">
        <v>74</v>
      </c>
      <c r="AG15">
        <v>21</v>
      </c>
      <c r="AH15">
        <v>0</v>
      </c>
      <c r="AI15">
        <v>0</v>
      </c>
      <c r="AJ15">
        <v>0</v>
      </c>
      <c r="AK15">
        <v>2</v>
      </c>
      <c r="AL15" t="s">
        <v>296</v>
      </c>
      <c r="AM15" t="s">
        <v>297</v>
      </c>
      <c r="AN15" t="s">
        <v>298</v>
      </c>
      <c r="AO15" t="s">
        <v>299</v>
      </c>
      <c r="AP15" t="s">
        <v>74</v>
      </c>
      <c r="AQ15" t="s">
        <v>74</v>
      </c>
      <c r="AR15" t="s">
        <v>300</v>
      </c>
      <c r="AS15" t="s">
        <v>301</v>
      </c>
      <c r="AT15" t="s">
        <v>302</v>
      </c>
      <c r="AU15">
        <v>1999</v>
      </c>
      <c r="AV15">
        <v>77</v>
      </c>
      <c r="AW15">
        <v>10</v>
      </c>
      <c r="AX15" t="s">
        <v>74</v>
      </c>
      <c r="AY15" t="s">
        <v>74</v>
      </c>
      <c r="AZ15" t="s">
        <v>74</v>
      </c>
      <c r="BA15" t="s">
        <v>74</v>
      </c>
      <c r="BB15">
        <v>1273</v>
      </c>
      <c r="BC15">
        <v>1282</v>
      </c>
      <c r="BD15" t="s">
        <v>74</v>
      </c>
      <c r="BE15" t="s">
        <v>74</v>
      </c>
      <c r="BF15" t="s">
        <v>74</v>
      </c>
      <c r="BG15" t="s">
        <v>74</v>
      </c>
      <c r="BH15" t="s">
        <v>74</v>
      </c>
      <c r="BI15">
        <v>10</v>
      </c>
      <c r="BJ15" t="s">
        <v>303</v>
      </c>
      <c r="BK15" t="s">
        <v>96</v>
      </c>
      <c r="BL15" t="s">
        <v>304</v>
      </c>
      <c r="BM15" t="s">
        <v>305</v>
      </c>
      <c r="BN15" t="s">
        <v>74</v>
      </c>
      <c r="BO15" t="s">
        <v>74</v>
      </c>
      <c r="BP15" t="s">
        <v>74</v>
      </c>
      <c r="BQ15" t="s">
        <v>74</v>
      </c>
      <c r="BR15" t="s">
        <v>99</v>
      </c>
      <c r="BS15" t="s">
        <v>306</v>
      </c>
      <c r="BT15" t="str">
        <f>HYPERLINK("https%3A%2F%2Fwww.webofscience.com%2Fwos%2Fwoscc%2Ffull-record%2FWOS:000084144500017","View Full Record in Web of Science")</f>
        <v>View Full Record in Web of Science</v>
      </c>
    </row>
    <row r="16" spans="1:72" x14ac:dyDescent="0.15">
      <c r="A16" t="s">
        <v>72</v>
      </c>
      <c r="B16" t="s">
        <v>307</v>
      </c>
      <c r="C16" t="s">
        <v>74</v>
      </c>
      <c r="D16" t="s">
        <v>74</v>
      </c>
      <c r="E16" t="s">
        <v>74</v>
      </c>
      <c r="F16" t="s">
        <v>307</v>
      </c>
      <c r="G16" t="s">
        <v>74</v>
      </c>
      <c r="H16" t="s">
        <v>74</v>
      </c>
      <c r="I16" t="s">
        <v>308</v>
      </c>
      <c r="J16" t="s">
        <v>221</v>
      </c>
      <c r="K16" t="s">
        <v>74</v>
      </c>
      <c r="L16" t="s">
        <v>74</v>
      </c>
      <c r="M16" t="s">
        <v>77</v>
      </c>
      <c r="N16" t="s">
        <v>78</v>
      </c>
      <c r="O16" t="s">
        <v>74</v>
      </c>
      <c r="P16" t="s">
        <v>74</v>
      </c>
      <c r="Q16" t="s">
        <v>74</v>
      </c>
      <c r="R16" t="s">
        <v>74</v>
      </c>
      <c r="S16" t="s">
        <v>74</v>
      </c>
      <c r="T16" t="s">
        <v>74</v>
      </c>
      <c r="U16" t="s">
        <v>309</v>
      </c>
      <c r="V16" t="s">
        <v>310</v>
      </c>
      <c r="W16" t="s">
        <v>311</v>
      </c>
      <c r="X16" t="s">
        <v>312</v>
      </c>
      <c r="Y16" t="s">
        <v>313</v>
      </c>
      <c r="Z16" t="s">
        <v>314</v>
      </c>
      <c r="AA16" t="s">
        <v>315</v>
      </c>
      <c r="AB16" t="s">
        <v>316</v>
      </c>
      <c r="AC16" t="s">
        <v>74</v>
      </c>
      <c r="AD16" t="s">
        <v>74</v>
      </c>
      <c r="AE16" t="s">
        <v>74</v>
      </c>
      <c r="AF16" t="s">
        <v>74</v>
      </c>
      <c r="AG16">
        <v>100</v>
      </c>
      <c r="AH16">
        <v>31</v>
      </c>
      <c r="AI16">
        <v>32</v>
      </c>
      <c r="AJ16">
        <v>0</v>
      </c>
      <c r="AK16">
        <v>4</v>
      </c>
      <c r="AL16" t="s">
        <v>230</v>
      </c>
      <c r="AM16" t="s">
        <v>231</v>
      </c>
      <c r="AN16" t="s">
        <v>232</v>
      </c>
      <c r="AO16" t="s">
        <v>233</v>
      </c>
      <c r="AP16" t="s">
        <v>317</v>
      </c>
      <c r="AQ16" t="s">
        <v>74</v>
      </c>
      <c r="AR16" t="s">
        <v>234</v>
      </c>
      <c r="AS16" t="s">
        <v>235</v>
      </c>
      <c r="AT16" t="s">
        <v>318</v>
      </c>
      <c r="AU16">
        <v>1999</v>
      </c>
      <c r="AV16">
        <v>104</v>
      </c>
      <c r="AW16" t="s">
        <v>319</v>
      </c>
      <c r="AX16" t="s">
        <v>74</v>
      </c>
      <c r="AY16" t="s">
        <v>74</v>
      </c>
      <c r="AZ16" t="s">
        <v>74</v>
      </c>
      <c r="BA16" t="s">
        <v>74</v>
      </c>
      <c r="BB16">
        <v>26419</v>
      </c>
      <c r="BC16">
        <v>26436</v>
      </c>
      <c r="BD16" t="s">
        <v>74</v>
      </c>
      <c r="BE16" t="s">
        <v>320</v>
      </c>
      <c r="BF16" t="str">
        <f>HYPERLINK("http://dx.doi.org/10.1029/1999JD900473","http://dx.doi.org/10.1029/1999JD900473")</f>
        <v>http://dx.doi.org/10.1029/1999JD900473</v>
      </c>
      <c r="BG16" t="s">
        <v>74</v>
      </c>
      <c r="BH16" t="s">
        <v>74</v>
      </c>
      <c r="BI16">
        <v>18</v>
      </c>
      <c r="BJ16" t="s">
        <v>95</v>
      </c>
      <c r="BK16" t="s">
        <v>96</v>
      </c>
      <c r="BL16" t="s">
        <v>95</v>
      </c>
      <c r="BM16" t="s">
        <v>321</v>
      </c>
      <c r="BN16" t="s">
        <v>74</v>
      </c>
      <c r="BO16" t="s">
        <v>250</v>
      </c>
      <c r="BP16" t="s">
        <v>74</v>
      </c>
      <c r="BQ16" t="s">
        <v>74</v>
      </c>
      <c r="BR16" t="s">
        <v>99</v>
      </c>
      <c r="BS16" t="s">
        <v>322</v>
      </c>
      <c r="BT16" t="str">
        <f>HYPERLINK("https%3A%2F%2Fwww.webofscience.com%2Fwos%2Fwoscc%2Ffull-record%2FWOS:000083781200023","View Full Record in Web of Science")</f>
        <v>View Full Record in Web of Science</v>
      </c>
    </row>
    <row r="17" spans="1:72" x14ac:dyDescent="0.15">
      <c r="A17" t="s">
        <v>72</v>
      </c>
      <c r="B17" t="s">
        <v>323</v>
      </c>
      <c r="C17" t="s">
        <v>74</v>
      </c>
      <c r="D17" t="s">
        <v>74</v>
      </c>
      <c r="E17" t="s">
        <v>74</v>
      </c>
      <c r="F17" t="s">
        <v>323</v>
      </c>
      <c r="G17" t="s">
        <v>74</v>
      </c>
      <c r="H17" t="s">
        <v>74</v>
      </c>
      <c r="I17" t="s">
        <v>324</v>
      </c>
      <c r="J17" t="s">
        <v>221</v>
      </c>
      <c r="K17" t="s">
        <v>74</v>
      </c>
      <c r="L17" t="s">
        <v>74</v>
      </c>
      <c r="M17" t="s">
        <v>77</v>
      </c>
      <c r="N17" t="s">
        <v>78</v>
      </c>
      <c r="O17" t="s">
        <v>74</v>
      </c>
      <c r="P17" t="s">
        <v>74</v>
      </c>
      <c r="Q17" t="s">
        <v>74</v>
      </c>
      <c r="R17" t="s">
        <v>74</v>
      </c>
      <c r="S17" t="s">
        <v>74</v>
      </c>
      <c r="T17" t="s">
        <v>74</v>
      </c>
      <c r="U17" t="s">
        <v>325</v>
      </c>
      <c r="V17" t="s">
        <v>326</v>
      </c>
      <c r="W17" t="s">
        <v>327</v>
      </c>
      <c r="X17" t="s">
        <v>328</v>
      </c>
      <c r="Y17" t="s">
        <v>329</v>
      </c>
      <c r="Z17" t="s">
        <v>330</v>
      </c>
      <c r="AA17" t="s">
        <v>331</v>
      </c>
      <c r="AB17" t="s">
        <v>332</v>
      </c>
      <c r="AC17" t="s">
        <v>74</v>
      </c>
      <c r="AD17" t="s">
        <v>74</v>
      </c>
      <c r="AE17" t="s">
        <v>74</v>
      </c>
      <c r="AF17" t="s">
        <v>74</v>
      </c>
      <c r="AG17">
        <v>83</v>
      </c>
      <c r="AH17">
        <v>12</v>
      </c>
      <c r="AI17">
        <v>12</v>
      </c>
      <c r="AJ17">
        <v>1</v>
      </c>
      <c r="AK17">
        <v>6</v>
      </c>
      <c r="AL17" t="s">
        <v>230</v>
      </c>
      <c r="AM17" t="s">
        <v>231</v>
      </c>
      <c r="AN17" t="s">
        <v>232</v>
      </c>
      <c r="AO17" t="s">
        <v>233</v>
      </c>
      <c r="AP17" t="s">
        <v>74</v>
      </c>
      <c r="AQ17" t="s">
        <v>74</v>
      </c>
      <c r="AR17" t="s">
        <v>234</v>
      </c>
      <c r="AS17" t="s">
        <v>235</v>
      </c>
      <c r="AT17" t="s">
        <v>318</v>
      </c>
      <c r="AU17">
        <v>1999</v>
      </c>
      <c r="AV17">
        <v>104</v>
      </c>
      <c r="AW17" t="s">
        <v>319</v>
      </c>
      <c r="AX17" t="s">
        <v>74</v>
      </c>
      <c r="AY17" t="s">
        <v>74</v>
      </c>
      <c r="AZ17" t="s">
        <v>74</v>
      </c>
      <c r="BA17" t="s">
        <v>74</v>
      </c>
      <c r="BB17">
        <v>26437</v>
      </c>
      <c r="BC17">
        <v>26456</v>
      </c>
      <c r="BD17" t="s">
        <v>74</v>
      </c>
      <c r="BE17" t="s">
        <v>333</v>
      </c>
      <c r="BF17" t="str">
        <f>HYPERLINK("http://dx.doi.org/10.1029/1999JD900407","http://dx.doi.org/10.1029/1999JD900407")</f>
        <v>http://dx.doi.org/10.1029/1999JD900407</v>
      </c>
      <c r="BG17" t="s">
        <v>74</v>
      </c>
      <c r="BH17" t="s">
        <v>74</v>
      </c>
      <c r="BI17">
        <v>20</v>
      </c>
      <c r="BJ17" t="s">
        <v>95</v>
      </c>
      <c r="BK17" t="s">
        <v>96</v>
      </c>
      <c r="BL17" t="s">
        <v>95</v>
      </c>
      <c r="BM17" t="s">
        <v>321</v>
      </c>
      <c r="BN17" t="s">
        <v>74</v>
      </c>
      <c r="BO17" t="s">
        <v>74</v>
      </c>
      <c r="BP17" t="s">
        <v>74</v>
      </c>
      <c r="BQ17" t="s">
        <v>74</v>
      </c>
      <c r="BR17" t="s">
        <v>99</v>
      </c>
      <c r="BS17" t="s">
        <v>334</v>
      </c>
      <c r="BT17" t="str">
        <f>HYPERLINK("https%3A%2F%2Fwww.webofscience.com%2Fwos%2Fwoscc%2Ffull-record%2FWOS:000083781200024","View Full Record in Web of Science")</f>
        <v>View Full Record in Web of Science</v>
      </c>
    </row>
    <row r="18" spans="1:72" x14ac:dyDescent="0.15">
      <c r="A18" t="s">
        <v>72</v>
      </c>
      <c r="B18" t="s">
        <v>335</v>
      </c>
      <c r="C18" t="s">
        <v>74</v>
      </c>
      <c r="D18" t="s">
        <v>74</v>
      </c>
      <c r="E18" t="s">
        <v>74</v>
      </c>
      <c r="F18" t="s">
        <v>335</v>
      </c>
      <c r="G18" t="s">
        <v>74</v>
      </c>
      <c r="H18" t="s">
        <v>74</v>
      </c>
      <c r="I18" t="s">
        <v>336</v>
      </c>
      <c r="J18" t="s">
        <v>221</v>
      </c>
      <c r="K18" t="s">
        <v>74</v>
      </c>
      <c r="L18" t="s">
        <v>74</v>
      </c>
      <c r="M18" t="s">
        <v>77</v>
      </c>
      <c r="N18" t="s">
        <v>78</v>
      </c>
      <c r="O18" t="s">
        <v>74</v>
      </c>
      <c r="P18" t="s">
        <v>74</v>
      </c>
      <c r="Q18" t="s">
        <v>74</v>
      </c>
      <c r="R18" t="s">
        <v>74</v>
      </c>
      <c r="S18" t="s">
        <v>74</v>
      </c>
      <c r="T18" t="s">
        <v>74</v>
      </c>
      <c r="U18" t="s">
        <v>337</v>
      </c>
      <c r="V18" t="s">
        <v>338</v>
      </c>
      <c r="W18" t="s">
        <v>339</v>
      </c>
      <c r="X18" t="s">
        <v>340</v>
      </c>
      <c r="Y18" t="s">
        <v>341</v>
      </c>
      <c r="Z18" t="s">
        <v>342</v>
      </c>
      <c r="AA18" t="s">
        <v>343</v>
      </c>
      <c r="AB18" t="s">
        <v>344</v>
      </c>
      <c r="AC18" t="s">
        <v>74</v>
      </c>
      <c r="AD18" t="s">
        <v>74</v>
      </c>
      <c r="AE18" t="s">
        <v>74</v>
      </c>
      <c r="AF18" t="s">
        <v>74</v>
      </c>
      <c r="AG18">
        <v>44</v>
      </c>
      <c r="AH18">
        <v>24</v>
      </c>
      <c r="AI18">
        <v>24</v>
      </c>
      <c r="AJ18">
        <v>1</v>
      </c>
      <c r="AK18">
        <v>9</v>
      </c>
      <c r="AL18" t="s">
        <v>230</v>
      </c>
      <c r="AM18" t="s">
        <v>231</v>
      </c>
      <c r="AN18" t="s">
        <v>232</v>
      </c>
      <c r="AO18" t="s">
        <v>233</v>
      </c>
      <c r="AP18" t="s">
        <v>74</v>
      </c>
      <c r="AQ18" t="s">
        <v>74</v>
      </c>
      <c r="AR18" t="s">
        <v>234</v>
      </c>
      <c r="AS18" t="s">
        <v>235</v>
      </c>
      <c r="AT18" t="s">
        <v>318</v>
      </c>
      <c r="AU18">
        <v>1999</v>
      </c>
      <c r="AV18">
        <v>104</v>
      </c>
      <c r="AW18" t="s">
        <v>319</v>
      </c>
      <c r="AX18" t="s">
        <v>74</v>
      </c>
      <c r="AY18" t="s">
        <v>74</v>
      </c>
      <c r="AZ18" t="s">
        <v>74</v>
      </c>
      <c r="BA18" t="s">
        <v>74</v>
      </c>
      <c r="BB18">
        <v>26653</v>
      </c>
      <c r="BC18">
        <v>26665</v>
      </c>
      <c r="BD18" t="s">
        <v>74</v>
      </c>
      <c r="BE18" t="s">
        <v>345</v>
      </c>
      <c r="BF18" t="str">
        <f>HYPERLINK("http://dx.doi.org/10.1029/1999JD900245","http://dx.doi.org/10.1029/1999JD900245")</f>
        <v>http://dx.doi.org/10.1029/1999JD900245</v>
      </c>
      <c r="BG18" t="s">
        <v>74</v>
      </c>
      <c r="BH18" t="s">
        <v>74</v>
      </c>
      <c r="BI18">
        <v>13</v>
      </c>
      <c r="BJ18" t="s">
        <v>95</v>
      </c>
      <c r="BK18" t="s">
        <v>96</v>
      </c>
      <c r="BL18" t="s">
        <v>95</v>
      </c>
      <c r="BM18" t="s">
        <v>321</v>
      </c>
      <c r="BN18" t="s">
        <v>74</v>
      </c>
      <c r="BO18" t="s">
        <v>250</v>
      </c>
      <c r="BP18" t="s">
        <v>74</v>
      </c>
      <c r="BQ18" t="s">
        <v>74</v>
      </c>
      <c r="BR18" t="s">
        <v>99</v>
      </c>
      <c r="BS18" t="s">
        <v>346</v>
      </c>
      <c r="BT18" t="str">
        <f>HYPERLINK("https%3A%2F%2Fwww.webofscience.com%2Fwos%2Fwoscc%2Ffull-record%2FWOS:000083781200038","View Full Record in Web of Science")</f>
        <v>View Full Record in Web of Science</v>
      </c>
    </row>
    <row r="19" spans="1:72" x14ac:dyDescent="0.15">
      <c r="A19" t="s">
        <v>72</v>
      </c>
      <c r="B19" t="s">
        <v>347</v>
      </c>
      <c r="C19" t="s">
        <v>74</v>
      </c>
      <c r="D19" t="s">
        <v>74</v>
      </c>
      <c r="E19" t="s">
        <v>74</v>
      </c>
      <c r="F19" t="s">
        <v>347</v>
      </c>
      <c r="G19" t="s">
        <v>74</v>
      </c>
      <c r="H19" t="s">
        <v>74</v>
      </c>
      <c r="I19" t="s">
        <v>348</v>
      </c>
      <c r="J19" t="s">
        <v>221</v>
      </c>
      <c r="K19" t="s">
        <v>74</v>
      </c>
      <c r="L19" t="s">
        <v>74</v>
      </c>
      <c r="M19" t="s">
        <v>77</v>
      </c>
      <c r="N19" t="s">
        <v>78</v>
      </c>
      <c r="O19" t="s">
        <v>74</v>
      </c>
      <c r="P19" t="s">
        <v>74</v>
      </c>
      <c r="Q19" t="s">
        <v>74</v>
      </c>
      <c r="R19" t="s">
        <v>74</v>
      </c>
      <c r="S19" t="s">
        <v>74</v>
      </c>
      <c r="T19" t="s">
        <v>74</v>
      </c>
      <c r="U19" t="s">
        <v>349</v>
      </c>
      <c r="V19" t="s">
        <v>350</v>
      </c>
      <c r="W19" t="s">
        <v>351</v>
      </c>
      <c r="X19" t="s">
        <v>352</v>
      </c>
      <c r="Y19" t="s">
        <v>353</v>
      </c>
      <c r="Z19" t="s">
        <v>354</v>
      </c>
      <c r="AA19" t="s">
        <v>74</v>
      </c>
      <c r="AB19" t="s">
        <v>74</v>
      </c>
      <c r="AC19" t="s">
        <v>74</v>
      </c>
      <c r="AD19" t="s">
        <v>74</v>
      </c>
      <c r="AE19" t="s">
        <v>74</v>
      </c>
      <c r="AF19" t="s">
        <v>74</v>
      </c>
      <c r="AG19">
        <v>64</v>
      </c>
      <c r="AH19">
        <v>7</v>
      </c>
      <c r="AI19">
        <v>7</v>
      </c>
      <c r="AJ19">
        <v>0</v>
      </c>
      <c r="AK19">
        <v>0</v>
      </c>
      <c r="AL19" t="s">
        <v>230</v>
      </c>
      <c r="AM19" t="s">
        <v>231</v>
      </c>
      <c r="AN19" t="s">
        <v>232</v>
      </c>
      <c r="AO19" t="s">
        <v>233</v>
      </c>
      <c r="AP19" t="s">
        <v>74</v>
      </c>
      <c r="AQ19" t="s">
        <v>74</v>
      </c>
      <c r="AR19" t="s">
        <v>234</v>
      </c>
      <c r="AS19" t="s">
        <v>235</v>
      </c>
      <c r="AT19" t="s">
        <v>318</v>
      </c>
      <c r="AU19">
        <v>1999</v>
      </c>
      <c r="AV19">
        <v>104</v>
      </c>
      <c r="AW19" t="s">
        <v>319</v>
      </c>
      <c r="AX19" t="s">
        <v>74</v>
      </c>
      <c r="AY19" t="s">
        <v>74</v>
      </c>
      <c r="AZ19" t="s">
        <v>74</v>
      </c>
      <c r="BA19" t="s">
        <v>74</v>
      </c>
      <c r="BB19">
        <v>26667</v>
      </c>
      <c r="BC19">
        <v>26686</v>
      </c>
      <c r="BD19" t="s">
        <v>74</v>
      </c>
      <c r="BE19" t="s">
        <v>355</v>
      </c>
      <c r="BF19" t="str">
        <f>HYPERLINK("http://dx.doi.org/10.1029/1999JD900440","http://dx.doi.org/10.1029/1999JD900440")</f>
        <v>http://dx.doi.org/10.1029/1999JD900440</v>
      </c>
      <c r="BG19" t="s">
        <v>74</v>
      </c>
      <c r="BH19" t="s">
        <v>74</v>
      </c>
      <c r="BI19">
        <v>20</v>
      </c>
      <c r="BJ19" t="s">
        <v>95</v>
      </c>
      <c r="BK19" t="s">
        <v>96</v>
      </c>
      <c r="BL19" t="s">
        <v>95</v>
      </c>
      <c r="BM19" t="s">
        <v>321</v>
      </c>
      <c r="BN19" t="s">
        <v>74</v>
      </c>
      <c r="BO19" t="s">
        <v>250</v>
      </c>
      <c r="BP19" t="s">
        <v>74</v>
      </c>
      <c r="BQ19" t="s">
        <v>74</v>
      </c>
      <c r="BR19" t="s">
        <v>99</v>
      </c>
      <c r="BS19" t="s">
        <v>356</v>
      </c>
      <c r="BT19" t="str">
        <f>HYPERLINK("https%3A%2F%2Fwww.webofscience.com%2Fwos%2Fwoscc%2Ffull-record%2FWOS:000083781200039","View Full Record in Web of Science")</f>
        <v>View Full Record in Web of Science</v>
      </c>
    </row>
    <row r="20" spans="1:72" x14ac:dyDescent="0.15">
      <c r="A20" t="s">
        <v>72</v>
      </c>
      <c r="B20" t="s">
        <v>357</v>
      </c>
      <c r="C20" t="s">
        <v>74</v>
      </c>
      <c r="D20" t="s">
        <v>74</v>
      </c>
      <c r="E20" t="s">
        <v>74</v>
      </c>
      <c r="F20" t="s">
        <v>357</v>
      </c>
      <c r="G20" t="s">
        <v>74</v>
      </c>
      <c r="H20" t="s">
        <v>74</v>
      </c>
      <c r="I20" t="s">
        <v>358</v>
      </c>
      <c r="J20" t="s">
        <v>359</v>
      </c>
      <c r="K20" t="s">
        <v>74</v>
      </c>
      <c r="L20" t="s">
        <v>74</v>
      </c>
      <c r="M20" t="s">
        <v>77</v>
      </c>
      <c r="N20" t="s">
        <v>78</v>
      </c>
      <c r="O20" t="s">
        <v>74</v>
      </c>
      <c r="P20" t="s">
        <v>74</v>
      </c>
      <c r="Q20" t="s">
        <v>74</v>
      </c>
      <c r="R20" t="s">
        <v>74</v>
      </c>
      <c r="S20" t="s">
        <v>74</v>
      </c>
      <c r="T20" t="s">
        <v>74</v>
      </c>
      <c r="U20" t="s">
        <v>360</v>
      </c>
      <c r="V20" t="s">
        <v>361</v>
      </c>
      <c r="W20" t="s">
        <v>362</v>
      </c>
      <c r="X20" t="s">
        <v>363</v>
      </c>
      <c r="Y20" t="s">
        <v>364</v>
      </c>
      <c r="Z20" t="s">
        <v>74</v>
      </c>
      <c r="AA20" t="s">
        <v>74</v>
      </c>
      <c r="AB20" t="s">
        <v>74</v>
      </c>
      <c r="AC20" t="s">
        <v>74</v>
      </c>
      <c r="AD20" t="s">
        <v>74</v>
      </c>
      <c r="AE20" t="s">
        <v>74</v>
      </c>
      <c r="AF20" t="s">
        <v>74</v>
      </c>
      <c r="AG20">
        <v>44</v>
      </c>
      <c r="AH20">
        <v>23</v>
      </c>
      <c r="AI20">
        <v>24</v>
      </c>
      <c r="AJ20">
        <v>2</v>
      </c>
      <c r="AK20">
        <v>11</v>
      </c>
      <c r="AL20" t="s">
        <v>365</v>
      </c>
      <c r="AM20" t="s">
        <v>231</v>
      </c>
      <c r="AN20" t="s">
        <v>366</v>
      </c>
      <c r="AO20" t="s">
        <v>367</v>
      </c>
      <c r="AP20" t="s">
        <v>74</v>
      </c>
      <c r="AQ20" t="s">
        <v>74</v>
      </c>
      <c r="AR20" t="s">
        <v>368</v>
      </c>
      <c r="AS20" t="s">
        <v>369</v>
      </c>
      <c r="AT20" t="s">
        <v>370</v>
      </c>
      <c r="AU20">
        <v>1999</v>
      </c>
      <c r="AV20">
        <v>103</v>
      </c>
      <c r="AW20">
        <v>46</v>
      </c>
      <c r="AX20" t="s">
        <v>74</v>
      </c>
      <c r="AY20" t="s">
        <v>74</v>
      </c>
      <c r="AZ20" t="s">
        <v>74</v>
      </c>
      <c r="BA20" t="s">
        <v>74</v>
      </c>
      <c r="BB20">
        <v>9211</v>
      </c>
      <c r="BC20">
        <v>9220</v>
      </c>
      <c r="BD20" t="s">
        <v>74</v>
      </c>
      <c r="BE20" t="s">
        <v>371</v>
      </c>
      <c r="BF20" t="str">
        <f>HYPERLINK("http://dx.doi.org/10.1021/jp9910284","http://dx.doi.org/10.1021/jp9910284")</f>
        <v>http://dx.doi.org/10.1021/jp9910284</v>
      </c>
      <c r="BG20" t="s">
        <v>74</v>
      </c>
      <c r="BH20" t="s">
        <v>74</v>
      </c>
      <c r="BI20">
        <v>10</v>
      </c>
      <c r="BJ20" t="s">
        <v>372</v>
      </c>
      <c r="BK20" t="s">
        <v>96</v>
      </c>
      <c r="BL20" t="s">
        <v>373</v>
      </c>
      <c r="BM20" t="s">
        <v>374</v>
      </c>
      <c r="BN20" t="s">
        <v>74</v>
      </c>
      <c r="BO20" t="s">
        <v>74</v>
      </c>
      <c r="BP20" t="s">
        <v>74</v>
      </c>
      <c r="BQ20" t="s">
        <v>74</v>
      </c>
      <c r="BR20" t="s">
        <v>99</v>
      </c>
      <c r="BS20" t="s">
        <v>375</v>
      </c>
      <c r="BT20" t="str">
        <f>HYPERLINK("https%3A%2F%2Fwww.webofscience.com%2Fwos%2Fwoscc%2Ffull-record%2FWOS:000083978700008","View Full Record in Web of Science")</f>
        <v>View Full Record in Web of Science</v>
      </c>
    </row>
    <row r="21" spans="1:72" x14ac:dyDescent="0.15">
      <c r="A21" t="s">
        <v>72</v>
      </c>
      <c r="B21" t="s">
        <v>376</v>
      </c>
      <c r="C21" t="s">
        <v>74</v>
      </c>
      <c r="D21" t="s">
        <v>74</v>
      </c>
      <c r="E21" t="s">
        <v>74</v>
      </c>
      <c r="F21" t="s">
        <v>376</v>
      </c>
      <c r="G21" t="s">
        <v>74</v>
      </c>
      <c r="H21" t="s">
        <v>74</v>
      </c>
      <c r="I21" t="s">
        <v>377</v>
      </c>
      <c r="J21" t="s">
        <v>378</v>
      </c>
      <c r="K21" t="s">
        <v>74</v>
      </c>
      <c r="L21" t="s">
        <v>74</v>
      </c>
      <c r="M21" t="s">
        <v>77</v>
      </c>
      <c r="N21" t="s">
        <v>78</v>
      </c>
      <c r="O21" t="s">
        <v>74</v>
      </c>
      <c r="P21" t="s">
        <v>74</v>
      </c>
      <c r="Q21" t="s">
        <v>74</v>
      </c>
      <c r="R21" t="s">
        <v>74</v>
      </c>
      <c r="S21" t="s">
        <v>74</v>
      </c>
      <c r="T21" t="s">
        <v>74</v>
      </c>
      <c r="U21" t="s">
        <v>379</v>
      </c>
      <c r="V21" t="s">
        <v>380</v>
      </c>
      <c r="W21" t="s">
        <v>151</v>
      </c>
      <c r="X21" t="s">
        <v>131</v>
      </c>
      <c r="Y21" t="s">
        <v>381</v>
      </c>
      <c r="Z21" t="s">
        <v>74</v>
      </c>
      <c r="AA21" t="s">
        <v>74</v>
      </c>
      <c r="AB21" t="s">
        <v>74</v>
      </c>
      <c r="AC21" t="s">
        <v>74</v>
      </c>
      <c r="AD21" t="s">
        <v>74</v>
      </c>
      <c r="AE21" t="s">
        <v>74</v>
      </c>
      <c r="AF21" t="s">
        <v>74</v>
      </c>
      <c r="AG21">
        <v>13</v>
      </c>
      <c r="AH21">
        <v>44</v>
      </c>
      <c r="AI21">
        <v>47</v>
      </c>
      <c r="AJ21">
        <v>0</v>
      </c>
      <c r="AK21">
        <v>1</v>
      </c>
      <c r="AL21" t="s">
        <v>230</v>
      </c>
      <c r="AM21" t="s">
        <v>231</v>
      </c>
      <c r="AN21" t="s">
        <v>232</v>
      </c>
      <c r="AO21" t="s">
        <v>382</v>
      </c>
      <c r="AP21" t="s">
        <v>74</v>
      </c>
      <c r="AQ21" t="s">
        <v>74</v>
      </c>
      <c r="AR21" t="s">
        <v>383</v>
      </c>
      <c r="AS21" t="s">
        <v>384</v>
      </c>
      <c r="AT21" t="s">
        <v>385</v>
      </c>
      <c r="AU21">
        <v>1999</v>
      </c>
      <c r="AV21">
        <v>26</v>
      </c>
      <c r="AW21">
        <v>22</v>
      </c>
      <c r="AX21" t="s">
        <v>74</v>
      </c>
      <c r="AY21" t="s">
        <v>74</v>
      </c>
      <c r="AZ21" t="s">
        <v>74</v>
      </c>
      <c r="BA21" t="s">
        <v>74</v>
      </c>
      <c r="BB21">
        <v>3353</v>
      </c>
      <c r="BC21">
        <v>3356</v>
      </c>
      <c r="BD21" t="s">
        <v>74</v>
      </c>
      <c r="BE21" t="s">
        <v>386</v>
      </c>
      <c r="BF21" t="str">
        <f>HYPERLINK("http://dx.doi.org/10.1029/1999GL003658","http://dx.doi.org/10.1029/1999GL003658")</f>
        <v>http://dx.doi.org/10.1029/1999GL003658</v>
      </c>
      <c r="BG21" t="s">
        <v>74</v>
      </c>
      <c r="BH21" t="s">
        <v>74</v>
      </c>
      <c r="BI21">
        <v>4</v>
      </c>
      <c r="BJ21" t="s">
        <v>387</v>
      </c>
      <c r="BK21" t="s">
        <v>96</v>
      </c>
      <c r="BL21" t="s">
        <v>388</v>
      </c>
      <c r="BM21" t="s">
        <v>389</v>
      </c>
      <c r="BN21" t="s">
        <v>74</v>
      </c>
      <c r="BO21" t="s">
        <v>390</v>
      </c>
      <c r="BP21" t="s">
        <v>74</v>
      </c>
      <c r="BQ21" t="s">
        <v>74</v>
      </c>
      <c r="BR21" t="s">
        <v>99</v>
      </c>
      <c r="BS21" t="s">
        <v>391</v>
      </c>
      <c r="BT21" t="str">
        <f>HYPERLINK("https%3A%2F%2Fwww.webofscience.com%2Fwos%2Fwoscc%2Ffull-record%2FWOS:000083677500006","View Full Record in Web of Science")</f>
        <v>View Full Record in Web of Science</v>
      </c>
    </row>
    <row r="22" spans="1:72" x14ac:dyDescent="0.15">
      <c r="A22" t="s">
        <v>72</v>
      </c>
      <c r="B22" t="s">
        <v>392</v>
      </c>
      <c r="C22" t="s">
        <v>74</v>
      </c>
      <c r="D22" t="s">
        <v>74</v>
      </c>
      <c r="E22" t="s">
        <v>74</v>
      </c>
      <c r="F22" t="s">
        <v>392</v>
      </c>
      <c r="G22" t="s">
        <v>74</v>
      </c>
      <c r="H22" t="s">
        <v>74</v>
      </c>
      <c r="I22" t="s">
        <v>393</v>
      </c>
      <c r="J22" t="s">
        <v>378</v>
      </c>
      <c r="K22" t="s">
        <v>74</v>
      </c>
      <c r="L22" t="s">
        <v>74</v>
      </c>
      <c r="M22" t="s">
        <v>77</v>
      </c>
      <c r="N22" t="s">
        <v>78</v>
      </c>
      <c r="O22" t="s">
        <v>74</v>
      </c>
      <c r="P22" t="s">
        <v>74</v>
      </c>
      <c r="Q22" t="s">
        <v>74</v>
      </c>
      <c r="R22" t="s">
        <v>74</v>
      </c>
      <c r="S22" t="s">
        <v>74</v>
      </c>
      <c r="T22" t="s">
        <v>74</v>
      </c>
      <c r="U22" t="s">
        <v>394</v>
      </c>
      <c r="V22" t="s">
        <v>395</v>
      </c>
      <c r="W22" t="s">
        <v>396</v>
      </c>
      <c r="X22" t="s">
        <v>397</v>
      </c>
      <c r="Y22" t="s">
        <v>398</v>
      </c>
      <c r="Z22" t="s">
        <v>74</v>
      </c>
      <c r="AA22" t="s">
        <v>74</v>
      </c>
      <c r="AB22" t="s">
        <v>74</v>
      </c>
      <c r="AC22" t="s">
        <v>74</v>
      </c>
      <c r="AD22" t="s">
        <v>74</v>
      </c>
      <c r="AE22" t="s">
        <v>74</v>
      </c>
      <c r="AF22" t="s">
        <v>74</v>
      </c>
      <c r="AG22">
        <v>11</v>
      </c>
      <c r="AH22">
        <v>11</v>
      </c>
      <c r="AI22">
        <v>13</v>
      </c>
      <c r="AJ22">
        <v>0</v>
      </c>
      <c r="AK22">
        <v>3</v>
      </c>
      <c r="AL22" t="s">
        <v>230</v>
      </c>
      <c r="AM22" t="s">
        <v>231</v>
      </c>
      <c r="AN22" t="s">
        <v>232</v>
      </c>
      <c r="AO22" t="s">
        <v>382</v>
      </c>
      <c r="AP22" t="s">
        <v>74</v>
      </c>
      <c r="AQ22" t="s">
        <v>74</v>
      </c>
      <c r="AR22" t="s">
        <v>383</v>
      </c>
      <c r="AS22" t="s">
        <v>384</v>
      </c>
      <c r="AT22" t="s">
        <v>385</v>
      </c>
      <c r="AU22">
        <v>1999</v>
      </c>
      <c r="AV22">
        <v>26</v>
      </c>
      <c r="AW22">
        <v>22</v>
      </c>
      <c r="AX22" t="s">
        <v>74</v>
      </c>
      <c r="AY22" t="s">
        <v>74</v>
      </c>
      <c r="AZ22" t="s">
        <v>74</v>
      </c>
      <c r="BA22" t="s">
        <v>74</v>
      </c>
      <c r="BB22">
        <v>3401</v>
      </c>
      <c r="BC22">
        <v>3404</v>
      </c>
      <c r="BD22" t="s">
        <v>74</v>
      </c>
      <c r="BE22" t="s">
        <v>399</v>
      </c>
      <c r="BF22" t="str">
        <f>HYPERLINK("http://dx.doi.org/10.1029/1999GL005420","http://dx.doi.org/10.1029/1999GL005420")</f>
        <v>http://dx.doi.org/10.1029/1999GL005420</v>
      </c>
      <c r="BG22" t="s">
        <v>74</v>
      </c>
      <c r="BH22" t="s">
        <v>74</v>
      </c>
      <c r="BI22">
        <v>4</v>
      </c>
      <c r="BJ22" t="s">
        <v>387</v>
      </c>
      <c r="BK22" t="s">
        <v>96</v>
      </c>
      <c r="BL22" t="s">
        <v>388</v>
      </c>
      <c r="BM22" t="s">
        <v>389</v>
      </c>
      <c r="BN22" t="s">
        <v>74</v>
      </c>
      <c r="BO22" t="s">
        <v>250</v>
      </c>
      <c r="BP22" t="s">
        <v>74</v>
      </c>
      <c r="BQ22" t="s">
        <v>74</v>
      </c>
      <c r="BR22" t="s">
        <v>99</v>
      </c>
      <c r="BS22" t="s">
        <v>400</v>
      </c>
      <c r="BT22" t="str">
        <f>HYPERLINK("https%3A%2F%2Fwww.webofscience.com%2Fwos%2Fwoscc%2Ffull-record%2FWOS:000083677500018","View Full Record in Web of Science")</f>
        <v>View Full Record in Web of Science</v>
      </c>
    </row>
    <row r="23" spans="1:72" x14ac:dyDescent="0.15">
      <c r="A23" t="s">
        <v>72</v>
      </c>
      <c r="B23" t="s">
        <v>401</v>
      </c>
      <c r="C23" t="s">
        <v>74</v>
      </c>
      <c r="D23" t="s">
        <v>74</v>
      </c>
      <c r="E23" t="s">
        <v>74</v>
      </c>
      <c r="F23" t="s">
        <v>401</v>
      </c>
      <c r="G23" t="s">
        <v>74</v>
      </c>
      <c r="H23" t="s">
        <v>74</v>
      </c>
      <c r="I23" t="s">
        <v>402</v>
      </c>
      <c r="J23" t="s">
        <v>403</v>
      </c>
      <c r="K23" t="s">
        <v>74</v>
      </c>
      <c r="L23" t="s">
        <v>74</v>
      </c>
      <c r="M23" t="s">
        <v>77</v>
      </c>
      <c r="N23" t="s">
        <v>78</v>
      </c>
      <c r="O23" t="s">
        <v>74</v>
      </c>
      <c r="P23" t="s">
        <v>74</v>
      </c>
      <c r="Q23" t="s">
        <v>74</v>
      </c>
      <c r="R23" t="s">
        <v>74</v>
      </c>
      <c r="S23" t="s">
        <v>74</v>
      </c>
      <c r="T23" t="s">
        <v>74</v>
      </c>
      <c r="U23" t="s">
        <v>404</v>
      </c>
      <c r="V23" t="s">
        <v>405</v>
      </c>
      <c r="W23" t="s">
        <v>406</v>
      </c>
      <c r="X23" t="s">
        <v>407</v>
      </c>
      <c r="Y23" t="s">
        <v>408</v>
      </c>
      <c r="Z23" t="s">
        <v>409</v>
      </c>
      <c r="AA23" t="s">
        <v>74</v>
      </c>
      <c r="AB23" t="s">
        <v>74</v>
      </c>
      <c r="AC23" t="s">
        <v>74</v>
      </c>
      <c r="AD23" t="s">
        <v>74</v>
      </c>
      <c r="AE23" t="s">
        <v>74</v>
      </c>
      <c r="AF23" t="s">
        <v>74</v>
      </c>
      <c r="AG23">
        <v>96</v>
      </c>
      <c r="AH23">
        <v>44</v>
      </c>
      <c r="AI23">
        <v>47</v>
      </c>
      <c r="AJ23">
        <v>0</v>
      </c>
      <c r="AK23">
        <v>3</v>
      </c>
      <c r="AL23" t="s">
        <v>230</v>
      </c>
      <c r="AM23" t="s">
        <v>231</v>
      </c>
      <c r="AN23" t="s">
        <v>232</v>
      </c>
      <c r="AO23" t="s">
        <v>410</v>
      </c>
      <c r="AP23" t="s">
        <v>411</v>
      </c>
      <c r="AQ23" t="s">
        <v>74</v>
      </c>
      <c r="AR23" t="s">
        <v>412</v>
      </c>
      <c r="AS23" t="s">
        <v>413</v>
      </c>
      <c r="AT23" t="s">
        <v>385</v>
      </c>
      <c r="AU23">
        <v>1999</v>
      </c>
      <c r="AV23">
        <v>104</v>
      </c>
      <c r="AW23" t="s">
        <v>414</v>
      </c>
      <c r="AX23" t="s">
        <v>74</v>
      </c>
      <c r="AY23" t="s">
        <v>74</v>
      </c>
      <c r="AZ23" t="s">
        <v>74</v>
      </c>
      <c r="BA23" t="s">
        <v>74</v>
      </c>
      <c r="BB23">
        <v>25623</v>
      </c>
      <c r="BC23">
        <v>25645</v>
      </c>
      <c r="BD23" t="s">
        <v>74</v>
      </c>
      <c r="BE23" t="s">
        <v>415</v>
      </c>
      <c r="BF23" t="str">
        <f>HYPERLINK("http://dx.doi.org/10.1029/1999JC900095","http://dx.doi.org/10.1029/1999JC900095")</f>
        <v>http://dx.doi.org/10.1029/1999JC900095</v>
      </c>
      <c r="BG23" t="s">
        <v>74</v>
      </c>
      <c r="BH23" t="s">
        <v>74</v>
      </c>
      <c r="BI23">
        <v>23</v>
      </c>
      <c r="BJ23" t="s">
        <v>416</v>
      </c>
      <c r="BK23" t="s">
        <v>96</v>
      </c>
      <c r="BL23" t="s">
        <v>416</v>
      </c>
      <c r="BM23" t="s">
        <v>417</v>
      </c>
      <c r="BN23" t="s">
        <v>74</v>
      </c>
      <c r="BO23" t="s">
        <v>250</v>
      </c>
      <c r="BP23" t="s">
        <v>74</v>
      </c>
      <c r="BQ23" t="s">
        <v>74</v>
      </c>
      <c r="BR23" t="s">
        <v>99</v>
      </c>
      <c r="BS23" t="s">
        <v>418</v>
      </c>
      <c r="BT23" t="str">
        <f>HYPERLINK("https%3A%2F%2Fwww.webofscience.com%2Fwos%2Fwoscc%2Ffull-record%2FWOS:000083653400001","View Full Record in Web of Science")</f>
        <v>View Full Record in Web of Science</v>
      </c>
    </row>
    <row r="24" spans="1:72" x14ac:dyDescent="0.15">
      <c r="A24" t="s">
        <v>72</v>
      </c>
      <c r="B24" t="s">
        <v>419</v>
      </c>
      <c r="C24" t="s">
        <v>74</v>
      </c>
      <c r="D24" t="s">
        <v>74</v>
      </c>
      <c r="E24" t="s">
        <v>74</v>
      </c>
      <c r="F24" t="s">
        <v>419</v>
      </c>
      <c r="G24" t="s">
        <v>74</v>
      </c>
      <c r="H24" t="s">
        <v>74</v>
      </c>
      <c r="I24" t="s">
        <v>420</v>
      </c>
      <c r="J24" t="s">
        <v>403</v>
      </c>
      <c r="K24" t="s">
        <v>74</v>
      </c>
      <c r="L24" t="s">
        <v>74</v>
      </c>
      <c r="M24" t="s">
        <v>77</v>
      </c>
      <c r="N24" t="s">
        <v>78</v>
      </c>
      <c r="O24" t="s">
        <v>74</v>
      </c>
      <c r="P24" t="s">
        <v>74</v>
      </c>
      <c r="Q24" t="s">
        <v>74</v>
      </c>
      <c r="R24" t="s">
        <v>74</v>
      </c>
      <c r="S24" t="s">
        <v>74</v>
      </c>
      <c r="T24" t="s">
        <v>74</v>
      </c>
      <c r="U24" t="s">
        <v>421</v>
      </c>
      <c r="V24" t="s">
        <v>422</v>
      </c>
      <c r="W24" t="s">
        <v>423</v>
      </c>
      <c r="X24" t="s">
        <v>424</v>
      </c>
      <c r="Y24" t="s">
        <v>425</v>
      </c>
      <c r="Z24" t="s">
        <v>426</v>
      </c>
      <c r="AA24" t="s">
        <v>427</v>
      </c>
      <c r="AB24" t="s">
        <v>428</v>
      </c>
      <c r="AC24" t="s">
        <v>74</v>
      </c>
      <c r="AD24" t="s">
        <v>74</v>
      </c>
      <c r="AE24" t="s">
        <v>74</v>
      </c>
      <c r="AF24" t="s">
        <v>74</v>
      </c>
      <c r="AG24">
        <v>38</v>
      </c>
      <c r="AH24">
        <v>11</v>
      </c>
      <c r="AI24">
        <v>13</v>
      </c>
      <c r="AJ24">
        <v>0</v>
      </c>
      <c r="AK24">
        <v>3</v>
      </c>
      <c r="AL24" t="s">
        <v>230</v>
      </c>
      <c r="AM24" t="s">
        <v>231</v>
      </c>
      <c r="AN24" t="s">
        <v>232</v>
      </c>
      <c r="AO24" t="s">
        <v>410</v>
      </c>
      <c r="AP24" t="s">
        <v>411</v>
      </c>
      <c r="AQ24" t="s">
        <v>74</v>
      </c>
      <c r="AR24" t="s">
        <v>412</v>
      </c>
      <c r="AS24" t="s">
        <v>413</v>
      </c>
      <c r="AT24" t="s">
        <v>385</v>
      </c>
      <c r="AU24">
        <v>1999</v>
      </c>
      <c r="AV24">
        <v>104</v>
      </c>
      <c r="AW24" t="s">
        <v>414</v>
      </c>
      <c r="AX24" t="s">
        <v>74</v>
      </c>
      <c r="AY24" t="s">
        <v>74</v>
      </c>
      <c r="AZ24" t="s">
        <v>74</v>
      </c>
      <c r="BA24" t="s">
        <v>74</v>
      </c>
      <c r="BB24">
        <v>25735</v>
      </c>
      <c r="BC24">
        <v>25745</v>
      </c>
      <c r="BD24" t="s">
        <v>74</v>
      </c>
      <c r="BE24" t="s">
        <v>429</v>
      </c>
      <c r="BF24" t="str">
        <f>HYPERLINK("http://dx.doi.org/10.1029/1999JC900160","http://dx.doi.org/10.1029/1999JC900160")</f>
        <v>http://dx.doi.org/10.1029/1999JC900160</v>
      </c>
      <c r="BG24" t="s">
        <v>74</v>
      </c>
      <c r="BH24" t="s">
        <v>74</v>
      </c>
      <c r="BI24">
        <v>11</v>
      </c>
      <c r="BJ24" t="s">
        <v>416</v>
      </c>
      <c r="BK24" t="s">
        <v>96</v>
      </c>
      <c r="BL24" t="s">
        <v>416</v>
      </c>
      <c r="BM24" t="s">
        <v>417</v>
      </c>
      <c r="BN24" t="s">
        <v>74</v>
      </c>
      <c r="BO24" t="s">
        <v>74</v>
      </c>
      <c r="BP24" t="s">
        <v>74</v>
      </c>
      <c r="BQ24" t="s">
        <v>74</v>
      </c>
      <c r="BR24" t="s">
        <v>99</v>
      </c>
      <c r="BS24" t="s">
        <v>430</v>
      </c>
      <c r="BT24" t="str">
        <f>HYPERLINK("https%3A%2F%2Fwww.webofscience.com%2Fwos%2Fwoscc%2Ffull-record%2FWOS:000083653400008","View Full Record in Web of Science")</f>
        <v>View Full Record in Web of Science</v>
      </c>
    </row>
    <row r="25" spans="1:72" x14ac:dyDescent="0.15">
      <c r="A25" t="s">
        <v>72</v>
      </c>
      <c r="B25" t="s">
        <v>431</v>
      </c>
      <c r="C25" t="s">
        <v>74</v>
      </c>
      <c r="D25" t="s">
        <v>74</v>
      </c>
      <c r="E25" t="s">
        <v>74</v>
      </c>
      <c r="F25" t="s">
        <v>431</v>
      </c>
      <c r="G25" t="s">
        <v>74</v>
      </c>
      <c r="H25" t="s">
        <v>74</v>
      </c>
      <c r="I25" t="s">
        <v>432</v>
      </c>
      <c r="J25" t="s">
        <v>433</v>
      </c>
      <c r="K25" t="s">
        <v>74</v>
      </c>
      <c r="L25" t="s">
        <v>74</v>
      </c>
      <c r="M25" t="s">
        <v>77</v>
      </c>
      <c r="N25" t="s">
        <v>78</v>
      </c>
      <c r="O25" t="s">
        <v>74</v>
      </c>
      <c r="P25" t="s">
        <v>74</v>
      </c>
      <c r="Q25" t="s">
        <v>74</v>
      </c>
      <c r="R25" t="s">
        <v>74</v>
      </c>
      <c r="S25" t="s">
        <v>74</v>
      </c>
      <c r="T25" t="s">
        <v>74</v>
      </c>
      <c r="U25" t="s">
        <v>434</v>
      </c>
      <c r="V25" t="s">
        <v>435</v>
      </c>
      <c r="W25" t="s">
        <v>436</v>
      </c>
      <c r="X25" t="s">
        <v>437</v>
      </c>
      <c r="Y25" t="s">
        <v>438</v>
      </c>
      <c r="Z25" t="s">
        <v>74</v>
      </c>
      <c r="AA25" t="s">
        <v>74</v>
      </c>
      <c r="AB25" t="s">
        <v>74</v>
      </c>
      <c r="AC25" t="s">
        <v>74</v>
      </c>
      <c r="AD25" t="s">
        <v>74</v>
      </c>
      <c r="AE25" t="s">
        <v>74</v>
      </c>
      <c r="AF25" t="s">
        <v>74</v>
      </c>
      <c r="AG25">
        <v>31</v>
      </c>
      <c r="AH25">
        <v>47</v>
      </c>
      <c r="AI25">
        <v>49</v>
      </c>
      <c r="AJ25">
        <v>0</v>
      </c>
      <c r="AK25">
        <v>9</v>
      </c>
      <c r="AL25" t="s">
        <v>210</v>
      </c>
      <c r="AM25" t="s">
        <v>211</v>
      </c>
      <c r="AN25" t="s">
        <v>212</v>
      </c>
      <c r="AO25" t="s">
        <v>439</v>
      </c>
      <c r="AP25" t="s">
        <v>74</v>
      </c>
      <c r="AQ25" t="s">
        <v>74</v>
      </c>
      <c r="AR25" t="s">
        <v>440</v>
      </c>
      <c r="AS25" t="s">
        <v>441</v>
      </c>
      <c r="AT25" t="s">
        <v>442</v>
      </c>
      <c r="AU25">
        <v>1999</v>
      </c>
      <c r="AV25">
        <v>313</v>
      </c>
      <c r="AW25" t="s">
        <v>141</v>
      </c>
      <c r="AX25" t="s">
        <v>74</v>
      </c>
      <c r="AY25" t="s">
        <v>74</v>
      </c>
      <c r="AZ25" t="s">
        <v>74</v>
      </c>
      <c r="BA25" t="s">
        <v>74</v>
      </c>
      <c r="BB25">
        <v>416</v>
      </c>
      <c r="BC25">
        <v>420</v>
      </c>
      <c r="BD25" t="s">
        <v>74</v>
      </c>
      <c r="BE25" t="s">
        <v>443</v>
      </c>
      <c r="BF25" t="str">
        <f>HYPERLINK("http://dx.doi.org/10.1016/S0009-2614(99)01087-8","http://dx.doi.org/10.1016/S0009-2614(99)01087-8")</f>
        <v>http://dx.doi.org/10.1016/S0009-2614(99)01087-8</v>
      </c>
      <c r="BG25" t="s">
        <v>74</v>
      </c>
      <c r="BH25" t="s">
        <v>74</v>
      </c>
      <c r="BI25">
        <v>5</v>
      </c>
      <c r="BJ25" t="s">
        <v>372</v>
      </c>
      <c r="BK25" t="s">
        <v>96</v>
      </c>
      <c r="BL25" t="s">
        <v>373</v>
      </c>
      <c r="BM25" t="s">
        <v>444</v>
      </c>
      <c r="BN25" t="s">
        <v>74</v>
      </c>
      <c r="BO25" t="s">
        <v>74</v>
      </c>
      <c r="BP25" t="s">
        <v>74</v>
      </c>
      <c r="BQ25" t="s">
        <v>74</v>
      </c>
      <c r="BR25" t="s">
        <v>99</v>
      </c>
      <c r="BS25" t="s">
        <v>445</v>
      </c>
      <c r="BT25" t="str">
        <f>HYPERLINK("https%3A%2F%2Fwww.webofscience.com%2Fwos%2Fwoscc%2Ffull-record%2FWOS:000083977700003","View Full Record in Web of Science")</f>
        <v>View Full Record in Web of Science</v>
      </c>
    </row>
    <row r="26" spans="1:72" x14ac:dyDescent="0.15">
      <c r="A26" t="s">
        <v>72</v>
      </c>
      <c r="B26" t="s">
        <v>446</v>
      </c>
      <c r="C26" t="s">
        <v>74</v>
      </c>
      <c r="D26" t="s">
        <v>74</v>
      </c>
      <c r="E26" t="s">
        <v>74</v>
      </c>
      <c r="F26" t="s">
        <v>446</v>
      </c>
      <c r="G26" t="s">
        <v>74</v>
      </c>
      <c r="H26" t="s">
        <v>74</v>
      </c>
      <c r="I26" t="s">
        <v>447</v>
      </c>
      <c r="J26" t="s">
        <v>433</v>
      </c>
      <c r="K26" t="s">
        <v>74</v>
      </c>
      <c r="L26" t="s">
        <v>74</v>
      </c>
      <c r="M26" t="s">
        <v>77</v>
      </c>
      <c r="N26" t="s">
        <v>78</v>
      </c>
      <c r="O26" t="s">
        <v>74</v>
      </c>
      <c r="P26" t="s">
        <v>74</v>
      </c>
      <c r="Q26" t="s">
        <v>74</v>
      </c>
      <c r="R26" t="s">
        <v>74</v>
      </c>
      <c r="S26" t="s">
        <v>74</v>
      </c>
      <c r="T26" t="s">
        <v>74</v>
      </c>
      <c r="U26" t="s">
        <v>448</v>
      </c>
      <c r="V26" t="s">
        <v>449</v>
      </c>
      <c r="W26" t="s">
        <v>450</v>
      </c>
      <c r="X26" t="s">
        <v>451</v>
      </c>
      <c r="Y26" t="s">
        <v>452</v>
      </c>
      <c r="Z26" t="s">
        <v>74</v>
      </c>
      <c r="AA26" t="s">
        <v>453</v>
      </c>
      <c r="AB26" t="s">
        <v>74</v>
      </c>
      <c r="AC26" t="s">
        <v>74</v>
      </c>
      <c r="AD26" t="s">
        <v>74</v>
      </c>
      <c r="AE26" t="s">
        <v>74</v>
      </c>
      <c r="AF26" t="s">
        <v>74</v>
      </c>
      <c r="AG26">
        <v>32</v>
      </c>
      <c r="AH26">
        <v>13</v>
      </c>
      <c r="AI26">
        <v>14</v>
      </c>
      <c r="AJ26">
        <v>0</v>
      </c>
      <c r="AK26">
        <v>9</v>
      </c>
      <c r="AL26" t="s">
        <v>210</v>
      </c>
      <c r="AM26" t="s">
        <v>211</v>
      </c>
      <c r="AN26" t="s">
        <v>212</v>
      </c>
      <c r="AO26" t="s">
        <v>439</v>
      </c>
      <c r="AP26" t="s">
        <v>74</v>
      </c>
      <c r="AQ26" t="s">
        <v>74</v>
      </c>
      <c r="AR26" t="s">
        <v>440</v>
      </c>
      <c r="AS26" t="s">
        <v>441</v>
      </c>
      <c r="AT26" t="s">
        <v>442</v>
      </c>
      <c r="AU26">
        <v>1999</v>
      </c>
      <c r="AV26">
        <v>313</v>
      </c>
      <c r="AW26" t="s">
        <v>141</v>
      </c>
      <c r="AX26" t="s">
        <v>74</v>
      </c>
      <c r="AY26" t="s">
        <v>74</v>
      </c>
      <c r="AZ26" t="s">
        <v>74</v>
      </c>
      <c r="BA26" t="s">
        <v>74</v>
      </c>
      <c r="BB26">
        <v>617</v>
      </c>
      <c r="BC26">
        <v>625</v>
      </c>
      <c r="BD26" t="s">
        <v>74</v>
      </c>
      <c r="BE26" t="s">
        <v>454</v>
      </c>
      <c r="BF26" t="str">
        <f>HYPERLINK("http://dx.doi.org/10.1016/S0009-2614(99)01048-9","http://dx.doi.org/10.1016/S0009-2614(99)01048-9")</f>
        <v>http://dx.doi.org/10.1016/S0009-2614(99)01048-9</v>
      </c>
      <c r="BG26" t="s">
        <v>74</v>
      </c>
      <c r="BH26" t="s">
        <v>74</v>
      </c>
      <c r="BI26">
        <v>9</v>
      </c>
      <c r="BJ26" t="s">
        <v>372</v>
      </c>
      <c r="BK26" t="s">
        <v>96</v>
      </c>
      <c r="BL26" t="s">
        <v>373</v>
      </c>
      <c r="BM26" t="s">
        <v>444</v>
      </c>
      <c r="BN26" t="s">
        <v>74</v>
      </c>
      <c r="BO26" t="s">
        <v>74</v>
      </c>
      <c r="BP26" t="s">
        <v>74</v>
      </c>
      <c r="BQ26" t="s">
        <v>74</v>
      </c>
      <c r="BR26" t="s">
        <v>99</v>
      </c>
      <c r="BS26" t="s">
        <v>455</v>
      </c>
      <c r="BT26" t="str">
        <f>HYPERLINK("https%3A%2F%2Fwww.webofscience.com%2Fwos%2Fwoscc%2Ffull-record%2FWOS:000083977700034","View Full Record in Web of Science")</f>
        <v>View Full Record in Web of Science</v>
      </c>
    </row>
    <row r="27" spans="1:72" x14ac:dyDescent="0.15">
      <c r="A27" t="s">
        <v>72</v>
      </c>
      <c r="B27" t="s">
        <v>456</v>
      </c>
      <c r="C27" t="s">
        <v>74</v>
      </c>
      <c r="D27" t="s">
        <v>74</v>
      </c>
      <c r="E27" t="s">
        <v>74</v>
      </c>
      <c r="F27" t="s">
        <v>456</v>
      </c>
      <c r="G27" t="s">
        <v>74</v>
      </c>
      <c r="H27" t="s">
        <v>74</v>
      </c>
      <c r="I27" t="s">
        <v>457</v>
      </c>
      <c r="J27" t="s">
        <v>458</v>
      </c>
      <c r="K27" t="s">
        <v>74</v>
      </c>
      <c r="L27" t="s">
        <v>74</v>
      </c>
      <c r="M27" t="s">
        <v>77</v>
      </c>
      <c r="N27" t="s">
        <v>78</v>
      </c>
      <c r="O27" t="s">
        <v>74</v>
      </c>
      <c r="P27" t="s">
        <v>74</v>
      </c>
      <c r="Q27" t="s">
        <v>74</v>
      </c>
      <c r="R27" t="s">
        <v>74</v>
      </c>
      <c r="S27" t="s">
        <v>74</v>
      </c>
      <c r="T27" t="s">
        <v>74</v>
      </c>
      <c r="U27" t="s">
        <v>459</v>
      </c>
      <c r="V27" t="s">
        <v>460</v>
      </c>
      <c r="W27" t="s">
        <v>461</v>
      </c>
      <c r="X27" t="s">
        <v>462</v>
      </c>
      <c r="Y27" t="s">
        <v>463</v>
      </c>
      <c r="Z27" t="s">
        <v>464</v>
      </c>
      <c r="AA27" t="s">
        <v>74</v>
      </c>
      <c r="AB27" t="s">
        <v>74</v>
      </c>
      <c r="AC27" t="s">
        <v>74</v>
      </c>
      <c r="AD27" t="s">
        <v>74</v>
      </c>
      <c r="AE27" t="s">
        <v>74</v>
      </c>
      <c r="AF27" t="s">
        <v>74</v>
      </c>
      <c r="AG27">
        <v>60</v>
      </c>
      <c r="AH27">
        <v>50</v>
      </c>
      <c r="AI27">
        <v>52</v>
      </c>
      <c r="AJ27">
        <v>1</v>
      </c>
      <c r="AK27">
        <v>8</v>
      </c>
      <c r="AL27" t="s">
        <v>230</v>
      </c>
      <c r="AM27" t="s">
        <v>231</v>
      </c>
      <c r="AN27" t="s">
        <v>232</v>
      </c>
      <c r="AO27" t="s">
        <v>465</v>
      </c>
      <c r="AP27" t="s">
        <v>466</v>
      </c>
      <c r="AQ27" t="s">
        <v>74</v>
      </c>
      <c r="AR27" t="s">
        <v>467</v>
      </c>
      <c r="AS27" t="s">
        <v>468</v>
      </c>
      <c r="AT27" t="s">
        <v>469</v>
      </c>
      <c r="AU27">
        <v>1999</v>
      </c>
      <c r="AV27">
        <v>104</v>
      </c>
      <c r="AW27" t="s">
        <v>470</v>
      </c>
      <c r="AX27" t="s">
        <v>74</v>
      </c>
      <c r="AY27" t="s">
        <v>74</v>
      </c>
      <c r="AZ27" t="s">
        <v>74</v>
      </c>
      <c r="BA27" t="s">
        <v>74</v>
      </c>
      <c r="BB27">
        <v>25275</v>
      </c>
      <c r="BC27">
        <v>25296</v>
      </c>
      <c r="BD27" t="s">
        <v>74</v>
      </c>
      <c r="BE27" t="s">
        <v>471</v>
      </c>
      <c r="BF27" t="str">
        <f>HYPERLINK("http://dx.doi.org/10.1029/1999JB900232","http://dx.doi.org/10.1029/1999JB900232")</f>
        <v>http://dx.doi.org/10.1029/1999JB900232</v>
      </c>
      <c r="BG27" t="s">
        <v>74</v>
      </c>
      <c r="BH27" t="s">
        <v>74</v>
      </c>
      <c r="BI27">
        <v>22</v>
      </c>
      <c r="BJ27" t="s">
        <v>216</v>
      </c>
      <c r="BK27" t="s">
        <v>96</v>
      </c>
      <c r="BL27" t="s">
        <v>216</v>
      </c>
      <c r="BM27" t="s">
        <v>472</v>
      </c>
      <c r="BN27" t="s">
        <v>74</v>
      </c>
      <c r="BO27" t="s">
        <v>74</v>
      </c>
      <c r="BP27" t="s">
        <v>74</v>
      </c>
      <c r="BQ27" t="s">
        <v>74</v>
      </c>
      <c r="BR27" t="s">
        <v>99</v>
      </c>
      <c r="BS27" t="s">
        <v>473</v>
      </c>
      <c r="BT27" t="str">
        <f>HYPERLINK("https%3A%2F%2Fwww.webofscience.com%2Fwos%2Fwoscc%2Ffull-record%2FWOS:000083653600008","View Full Record in Web of Science")</f>
        <v>View Full Record in Web of Science</v>
      </c>
    </row>
    <row r="28" spans="1:72" x14ac:dyDescent="0.15">
      <c r="A28" t="s">
        <v>72</v>
      </c>
      <c r="B28" t="s">
        <v>474</v>
      </c>
      <c r="C28" t="s">
        <v>74</v>
      </c>
      <c r="D28" t="s">
        <v>74</v>
      </c>
      <c r="E28" t="s">
        <v>74</v>
      </c>
      <c r="F28" t="s">
        <v>474</v>
      </c>
      <c r="G28" t="s">
        <v>74</v>
      </c>
      <c r="H28" t="s">
        <v>74</v>
      </c>
      <c r="I28" t="s">
        <v>475</v>
      </c>
      <c r="J28" t="s">
        <v>458</v>
      </c>
      <c r="K28" t="s">
        <v>74</v>
      </c>
      <c r="L28" t="s">
        <v>74</v>
      </c>
      <c r="M28" t="s">
        <v>77</v>
      </c>
      <c r="N28" t="s">
        <v>254</v>
      </c>
      <c r="O28" t="s">
        <v>74</v>
      </c>
      <c r="P28" t="s">
        <v>74</v>
      </c>
      <c r="Q28" t="s">
        <v>74</v>
      </c>
      <c r="R28" t="s">
        <v>74</v>
      </c>
      <c r="S28" t="s">
        <v>74</v>
      </c>
      <c r="T28" t="s">
        <v>74</v>
      </c>
      <c r="U28" t="s">
        <v>476</v>
      </c>
      <c r="V28" t="s">
        <v>477</v>
      </c>
      <c r="W28" t="s">
        <v>478</v>
      </c>
      <c r="X28" t="s">
        <v>479</v>
      </c>
      <c r="Y28" t="s">
        <v>480</v>
      </c>
      <c r="Z28" t="s">
        <v>481</v>
      </c>
      <c r="AA28" t="s">
        <v>74</v>
      </c>
      <c r="AB28" t="s">
        <v>482</v>
      </c>
      <c r="AC28" t="s">
        <v>74</v>
      </c>
      <c r="AD28" t="s">
        <v>74</v>
      </c>
      <c r="AE28" t="s">
        <v>74</v>
      </c>
      <c r="AF28" t="s">
        <v>74</v>
      </c>
      <c r="AG28">
        <v>116</v>
      </c>
      <c r="AH28">
        <v>36</v>
      </c>
      <c r="AI28">
        <v>37</v>
      </c>
      <c r="AJ28">
        <v>0</v>
      </c>
      <c r="AK28">
        <v>3</v>
      </c>
      <c r="AL28" t="s">
        <v>230</v>
      </c>
      <c r="AM28" t="s">
        <v>231</v>
      </c>
      <c r="AN28" t="s">
        <v>232</v>
      </c>
      <c r="AO28" t="s">
        <v>465</v>
      </c>
      <c r="AP28" t="s">
        <v>466</v>
      </c>
      <c r="AQ28" t="s">
        <v>74</v>
      </c>
      <c r="AR28" t="s">
        <v>467</v>
      </c>
      <c r="AS28" t="s">
        <v>468</v>
      </c>
      <c r="AT28" t="s">
        <v>469</v>
      </c>
      <c r="AU28">
        <v>1999</v>
      </c>
      <c r="AV28">
        <v>104</v>
      </c>
      <c r="AW28" t="s">
        <v>470</v>
      </c>
      <c r="AX28" t="s">
        <v>74</v>
      </c>
      <c r="AY28" t="s">
        <v>74</v>
      </c>
      <c r="AZ28" t="s">
        <v>74</v>
      </c>
      <c r="BA28" t="s">
        <v>74</v>
      </c>
      <c r="BB28">
        <v>25297</v>
      </c>
      <c r="BC28">
        <v>25319</v>
      </c>
      <c r="BD28" t="s">
        <v>74</v>
      </c>
      <c r="BE28" t="s">
        <v>483</v>
      </c>
      <c r="BF28" t="str">
        <f>HYPERLINK("http://dx.doi.org/10.1029/1998JB900041","http://dx.doi.org/10.1029/1998JB900041")</f>
        <v>http://dx.doi.org/10.1029/1998JB900041</v>
      </c>
      <c r="BG28" t="s">
        <v>74</v>
      </c>
      <c r="BH28" t="s">
        <v>74</v>
      </c>
      <c r="BI28">
        <v>23</v>
      </c>
      <c r="BJ28" t="s">
        <v>216</v>
      </c>
      <c r="BK28" t="s">
        <v>96</v>
      </c>
      <c r="BL28" t="s">
        <v>216</v>
      </c>
      <c r="BM28" t="s">
        <v>472</v>
      </c>
      <c r="BN28" t="s">
        <v>74</v>
      </c>
      <c r="BO28" t="s">
        <v>74</v>
      </c>
      <c r="BP28" t="s">
        <v>74</v>
      </c>
      <c r="BQ28" t="s">
        <v>74</v>
      </c>
      <c r="BR28" t="s">
        <v>99</v>
      </c>
      <c r="BS28" t="s">
        <v>484</v>
      </c>
      <c r="BT28" t="str">
        <f>HYPERLINK("https%3A%2F%2Fwww.webofscience.com%2Fwos%2Fwoscc%2Ffull-record%2FWOS:000083653600009","View Full Record in Web of Science")</f>
        <v>View Full Record in Web of Science</v>
      </c>
    </row>
    <row r="29" spans="1:72" x14ac:dyDescent="0.15">
      <c r="A29" t="s">
        <v>72</v>
      </c>
      <c r="B29" t="s">
        <v>485</v>
      </c>
      <c r="C29" t="s">
        <v>74</v>
      </c>
      <c r="D29" t="s">
        <v>74</v>
      </c>
      <c r="E29" t="s">
        <v>74</v>
      </c>
      <c r="F29" t="s">
        <v>485</v>
      </c>
      <c r="G29" t="s">
        <v>74</v>
      </c>
      <c r="H29" t="s">
        <v>74</v>
      </c>
      <c r="I29" t="s">
        <v>486</v>
      </c>
      <c r="J29" t="s">
        <v>458</v>
      </c>
      <c r="K29" t="s">
        <v>74</v>
      </c>
      <c r="L29" t="s">
        <v>74</v>
      </c>
      <c r="M29" t="s">
        <v>77</v>
      </c>
      <c r="N29" t="s">
        <v>78</v>
      </c>
      <c r="O29" t="s">
        <v>74</v>
      </c>
      <c r="P29" t="s">
        <v>74</v>
      </c>
      <c r="Q29" t="s">
        <v>74</v>
      </c>
      <c r="R29" t="s">
        <v>74</v>
      </c>
      <c r="S29" t="s">
        <v>74</v>
      </c>
      <c r="T29" t="s">
        <v>74</v>
      </c>
      <c r="U29" t="s">
        <v>487</v>
      </c>
      <c r="V29" t="s">
        <v>488</v>
      </c>
      <c r="W29" t="s">
        <v>489</v>
      </c>
      <c r="X29" t="s">
        <v>490</v>
      </c>
      <c r="Y29" t="s">
        <v>491</v>
      </c>
      <c r="Z29" t="s">
        <v>492</v>
      </c>
      <c r="AA29" t="s">
        <v>74</v>
      </c>
      <c r="AB29" t="s">
        <v>493</v>
      </c>
      <c r="AC29" t="s">
        <v>74</v>
      </c>
      <c r="AD29" t="s">
        <v>74</v>
      </c>
      <c r="AE29" t="s">
        <v>74</v>
      </c>
      <c r="AF29" t="s">
        <v>74</v>
      </c>
      <c r="AG29">
        <v>43</v>
      </c>
      <c r="AH29">
        <v>54</v>
      </c>
      <c r="AI29">
        <v>60</v>
      </c>
      <c r="AJ29">
        <v>1</v>
      </c>
      <c r="AK29">
        <v>10</v>
      </c>
      <c r="AL29" t="s">
        <v>230</v>
      </c>
      <c r="AM29" t="s">
        <v>231</v>
      </c>
      <c r="AN29" t="s">
        <v>232</v>
      </c>
      <c r="AO29" t="s">
        <v>465</v>
      </c>
      <c r="AP29" t="s">
        <v>466</v>
      </c>
      <c r="AQ29" t="s">
        <v>74</v>
      </c>
      <c r="AR29" t="s">
        <v>467</v>
      </c>
      <c r="AS29" t="s">
        <v>468</v>
      </c>
      <c r="AT29" t="s">
        <v>469</v>
      </c>
      <c r="AU29">
        <v>1999</v>
      </c>
      <c r="AV29">
        <v>104</v>
      </c>
      <c r="AW29" t="s">
        <v>470</v>
      </c>
      <c r="AX29" t="s">
        <v>74</v>
      </c>
      <c r="AY29" t="s">
        <v>74</v>
      </c>
      <c r="AZ29" t="s">
        <v>74</v>
      </c>
      <c r="BA29" t="s">
        <v>74</v>
      </c>
      <c r="BB29">
        <v>25349</v>
      </c>
      <c r="BC29">
        <v>25366</v>
      </c>
      <c r="BD29" t="s">
        <v>74</v>
      </c>
      <c r="BE29" t="s">
        <v>494</v>
      </c>
      <c r="BF29" t="str">
        <f>HYPERLINK("http://dx.doi.org/10.1029/1999JB900264","http://dx.doi.org/10.1029/1999JB900264")</f>
        <v>http://dx.doi.org/10.1029/1999JB900264</v>
      </c>
      <c r="BG29" t="s">
        <v>74</v>
      </c>
      <c r="BH29" t="s">
        <v>74</v>
      </c>
      <c r="BI29">
        <v>18</v>
      </c>
      <c r="BJ29" t="s">
        <v>216</v>
      </c>
      <c r="BK29" t="s">
        <v>96</v>
      </c>
      <c r="BL29" t="s">
        <v>216</v>
      </c>
      <c r="BM29" t="s">
        <v>472</v>
      </c>
      <c r="BN29" t="s">
        <v>74</v>
      </c>
      <c r="BO29" t="s">
        <v>495</v>
      </c>
      <c r="BP29" t="s">
        <v>74</v>
      </c>
      <c r="BQ29" t="s">
        <v>74</v>
      </c>
      <c r="BR29" t="s">
        <v>99</v>
      </c>
      <c r="BS29" t="s">
        <v>496</v>
      </c>
      <c r="BT29" t="str">
        <f>HYPERLINK("https%3A%2F%2Fwww.webofscience.com%2Fwos%2Fwoscc%2Ffull-record%2FWOS:000083653600012","View Full Record in Web of Science")</f>
        <v>View Full Record in Web of Science</v>
      </c>
    </row>
    <row r="30" spans="1:72" x14ac:dyDescent="0.15">
      <c r="A30" t="s">
        <v>72</v>
      </c>
      <c r="B30" t="s">
        <v>497</v>
      </c>
      <c r="C30" t="s">
        <v>74</v>
      </c>
      <c r="D30" t="s">
        <v>74</v>
      </c>
      <c r="E30" t="s">
        <v>74</v>
      </c>
      <c r="F30" t="s">
        <v>497</v>
      </c>
      <c r="G30" t="s">
        <v>74</v>
      </c>
      <c r="H30" t="s">
        <v>74</v>
      </c>
      <c r="I30" t="s">
        <v>498</v>
      </c>
      <c r="J30" t="s">
        <v>499</v>
      </c>
      <c r="K30" t="s">
        <v>74</v>
      </c>
      <c r="L30" t="s">
        <v>74</v>
      </c>
      <c r="M30" t="s">
        <v>77</v>
      </c>
      <c r="N30" t="s">
        <v>78</v>
      </c>
      <c r="O30" t="s">
        <v>74</v>
      </c>
      <c r="P30" t="s">
        <v>74</v>
      </c>
      <c r="Q30" t="s">
        <v>74</v>
      </c>
      <c r="R30" t="s">
        <v>74</v>
      </c>
      <c r="S30" t="s">
        <v>74</v>
      </c>
      <c r="T30" t="s">
        <v>500</v>
      </c>
      <c r="U30" t="s">
        <v>501</v>
      </c>
      <c r="V30" t="s">
        <v>502</v>
      </c>
      <c r="W30" t="s">
        <v>503</v>
      </c>
      <c r="X30" t="s">
        <v>504</v>
      </c>
      <c r="Y30" t="s">
        <v>505</v>
      </c>
      <c r="Z30" t="s">
        <v>506</v>
      </c>
      <c r="AA30" t="s">
        <v>507</v>
      </c>
      <c r="AB30" t="s">
        <v>508</v>
      </c>
      <c r="AC30" t="s">
        <v>74</v>
      </c>
      <c r="AD30" t="s">
        <v>74</v>
      </c>
      <c r="AE30" t="s">
        <v>74</v>
      </c>
      <c r="AF30" t="s">
        <v>74</v>
      </c>
      <c r="AG30">
        <v>47</v>
      </c>
      <c r="AH30">
        <v>103</v>
      </c>
      <c r="AI30">
        <v>111</v>
      </c>
      <c r="AJ30">
        <v>0</v>
      </c>
      <c r="AK30">
        <v>8</v>
      </c>
      <c r="AL30" t="s">
        <v>509</v>
      </c>
      <c r="AM30" t="s">
        <v>231</v>
      </c>
      <c r="AN30" t="s">
        <v>510</v>
      </c>
      <c r="AO30" t="s">
        <v>511</v>
      </c>
      <c r="AP30" t="s">
        <v>512</v>
      </c>
      <c r="AQ30" t="s">
        <v>74</v>
      </c>
      <c r="AR30" t="s">
        <v>513</v>
      </c>
      <c r="AS30" t="s">
        <v>514</v>
      </c>
      <c r="AT30" t="s">
        <v>515</v>
      </c>
      <c r="AU30">
        <v>1999</v>
      </c>
      <c r="AV30">
        <v>96</v>
      </c>
      <c r="AW30">
        <v>23</v>
      </c>
      <c r="AX30" t="s">
        <v>74</v>
      </c>
      <c r="AY30" t="s">
        <v>74</v>
      </c>
      <c r="AZ30" t="s">
        <v>74</v>
      </c>
      <c r="BA30" t="s">
        <v>74</v>
      </c>
      <c r="BB30">
        <v>13235</v>
      </c>
      <c r="BC30">
        <v>13240</v>
      </c>
      <c r="BD30" t="s">
        <v>74</v>
      </c>
      <c r="BE30" t="s">
        <v>516</v>
      </c>
      <c r="BF30" t="str">
        <f>HYPERLINK("http://dx.doi.org/10.1073/pnas.96.23.13235","http://dx.doi.org/10.1073/pnas.96.23.13235")</f>
        <v>http://dx.doi.org/10.1073/pnas.96.23.13235</v>
      </c>
      <c r="BG30" t="s">
        <v>74</v>
      </c>
      <c r="BH30" t="s">
        <v>74</v>
      </c>
      <c r="BI30">
        <v>6</v>
      </c>
      <c r="BJ30" t="s">
        <v>303</v>
      </c>
      <c r="BK30" t="s">
        <v>96</v>
      </c>
      <c r="BL30" t="s">
        <v>304</v>
      </c>
      <c r="BM30" t="s">
        <v>517</v>
      </c>
      <c r="BN30">
        <v>10557304</v>
      </c>
      <c r="BO30" t="s">
        <v>518</v>
      </c>
      <c r="BP30" t="s">
        <v>74</v>
      </c>
      <c r="BQ30" t="s">
        <v>74</v>
      </c>
      <c r="BR30" t="s">
        <v>99</v>
      </c>
      <c r="BS30" t="s">
        <v>519</v>
      </c>
      <c r="BT30" t="str">
        <f>HYPERLINK("https%3A%2F%2Fwww.webofscience.com%2Fwos%2Fwoscc%2Ffull-record%2FWOS:000083649400049","View Full Record in Web of Science")</f>
        <v>View Full Record in Web of Science</v>
      </c>
    </row>
    <row r="31" spans="1:72" x14ac:dyDescent="0.15">
      <c r="A31" t="s">
        <v>72</v>
      </c>
      <c r="B31" t="s">
        <v>520</v>
      </c>
      <c r="C31" t="s">
        <v>74</v>
      </c>
      <c r="D31" t="s">
        <v>74</v>
      </c>
      <c r="E31" t="s">
        <v>74</v>
      </c>
      <c r="F31" t="s">
        <v>520</v>
      </c>
      <c r="G31" t="s">
        <v>74</v>
      </c>
      <c r="H31" t="s">
        <v>74</v>
      </c>
      <c r="I31" t="s">
        <v>521</v>
      </c>
      <c r="J31" t="s">
        <v>522</v>
      </c>
      <c r="K31" t="s">
        <v>74</v>
      </c>
      <c r="L31" t="s">
        <v>74</v>
      </c>
      <c r="M31" t="s">
        <v>77</v>
      </c>
      <c r="N31" t="s">
        <v>78</v>
      </c>
      <c r="O31" t="s">
        <v>74</v>
      </c>
      <c r="P31" t="s">
        <v>74</v>
      </c>
      <c r="Q31" t="s">
        <v>74</v>
      </c>
      <c r="R31" t="s">
        <v>74</v>
      </c>
      <c r="S31" t="s">
        <v>74</v>
      </c>
      <c r="T31" t="s">
        <v>74</v>
      </c>
      <c r="U31" t="s">
        <v>523</v>
      </c>
      <c r="V31" t="s">
        <v>524</v>
      </c>
      <c r="W31" t="s">
        <v>525</v>
      </c>
      <c r="X31" t="s">
        <v>74</v>
      </c>
      <c r="Y31" t="s">
        <v>526</v>
      </c>
      <c r="Z31" t="s">
        <v>527</v>
      </c>
      <c r="AA31" t="s">
        <v>528</v>
      </c>
      <c r="AB31" t="s">
        <v>529</v>
      </c>
      <c r="AC31" t="s">
        <v>74</v>
      </c>
      <c r="AD31" t="s">
        <v>74</v>
      </c>
      <c r="AE31" t="s">
        <v>74</v>
      </c>
      <c r="AF31" t="s">
        <v>74</v>
      </c>
      <c r="AG31">
        <v>54</v>
      </c>
      <c r="AH31">
        <v>55</v>
      </c>
      <c r="AI31">
        <v>58</v>
      </c>
      <c r="AJ31">
        <v>2</v>
      </c>
      <c r="AK31">
        <v>25</v>
      </c>
      <c r="AL31" t="s">
        <v>530</v>
      </c>
      <c r="AM31" t="s">
        <v>531</v>
      </c>
      <c r="AN31" t="s">
        <v>532</v>
      </c>
      <c r="AO31" t="s">
        <v>533</v>
      </c>
      <c r="AP31" t="s">
        <v>534</v>
      </c>
      <c r="AQ31" t="s">
        <v>74</v>
      </c>
      <c r="AR31" t="s">
        <v>535</v>
      </c>
      <c r="AS31" t="s">
        <v>536</v>
      </c>
      <c r="AT31" t="s">
        <v>537</v>
      </c>
      <c r="AU31">
        <v>1999</v>
      </c>
      <c r="AV31">
        <v>58</v>
      </c>
      <c r="AW31" t="s">
        <v>74</v>
      </c>
      <c r="AX31">
        <v>5</v>
      </c>
      <c r="AY31" t="s">
        <v>74</v>
      </c>
      <c r="AZ31" t="s">
        <v>74</v>
      </c>
      <c r="BA31" t="s">
        <v>74</v>
      </c>
      <c r="BB31">
        <v>1123</v>
      </c>
      <c r="BC31">
        <v>1129</v>
      </c>
      <c r="BD31" t="s">
        <v>74</v>
      </c>
      <c r="BE31" t="s">
        <v>538</v>
      </c>
      <c r="BF31" t="str">
        <f>HYPERLINK("http://dx.doi.org/10.1006/anbe.1999.1235","http://dx.doi.org/10.1006/anbe.1999.1235")</f>
        <v>http://dx.doi.org/10.1006/anbe.1999.1235</v>
      </c>
      <c r="BG31" t="s">
        <v>74</v>
      </c>
      <c r="BH31" t="s">
        <v>74</v>
      </c>
      <c r="BI31">
        <v>7</v>
      </c>
      <c r="BJ31" t="s">
        <v>539</v>
      </c>
      <c r="BK31" t="s">
        <v>96</v>
      </c>
      <c r="BL31" t="s">
        <v>539</v>
      </c>
      <c r="BM31" t="s">
        <v>540</v>
      </c>
      <c r="BN31">
        <v>10564616</v>
      </c>
      <c r="BO31" t="s">
        <v>74</v>
      </c>
      <c r="BP31" t="s">
        <v>74</v>
      </c>
      <c r="BQ31" t="s">
        <v>74</v>
      </c>
      <c r="BR31" t="s">
        <v>99</v>
      </c>
      <c r="BS31" t="s">
        <v>541</v>
      </c>
      <c r="BT31" t="str">
        <f>HYPERLINK("https%3A%2F%2Fwww.webofscience.com%2Fwos%2Fwoscc%2Ffull-record%2FWOS:000083929700023","View Full Record in Web of Science")</f>
        <v>View Full Record in Web of Science</v>
      </c>
    </row>
    <row r="32" spans="1:72" x14ac:dyDescent="0.15">
      <c r="A32" t="s">
        <v>72</v>
      </c>
      <c r="B32" t="s">
        <v>542</v>
      </c>
      <c r="C32" t="s">
        <v>74</v>
      </c>
      <c r="D32" t="s">
        <v>74</v>
      </c>
      <c r="E32" t="s">
        <v>74</v>
      </c>
      <c r="F32" t="s">
        <v>542</v>
      </c>
      <c r="G32" t="s">
        <v>74</v>
      </c>
      <c r="H32" t="s">
        <v>74</v>
      </c>
      <c r="I32" t="s">
        <v>543</v>
      </c>
      <c r="J32" t="s">
        <v>544</v>
      </c>
      <c r="K32" t="s">
        <v>74</v>
      </c>
      <c r="L32" t="s">
        <v>74</v>
      </c>
      <c r="M32" t="s">
        <v>77</v>
      </c>
      <c r="N32" t="s">
        <v>78</v>
      </c>
      <c r="O32" t="s">
        <v>74</v>
      </c>
      <c r="P32" t="s">
        <v>74</v>
      </c>
      <c r="Q32" t="s">
        <v>74</v>
      </c>
      <c r="R32" t="s">
        <v>74</v>
      </c>
      <c r="S32" t="s">
        <v>74</v>
      </c>
      <c r="T32" t="s">
        <v>545</v>
      </c>
      <c r="U32" t="s">
        <v>546</v>
      </c>
      <c r="V32" t="s">
        <v>547</v>
      </c>
      <c r="W32" t="s">
        <v>548</v>
      </c>
      <c r="X32" t="s">
        <v>549</v>
      </c>
      <c r="Y32" t="s">
        <v>550</v>
      </c>
      <c r="Z32" t="s">
        <v>74</v>
      </c>
      <c r="AA32" t="s">
        <v>551</v>
      </c>
      <c r="AB32" t="s">
        <v>552</v>
      </c>
      <c r="AC32" t="s">
        <v>74</v>
      </c>
      <c r="AD32" t="s">
        <v>74</v>
      </c>
      <c r="AE32" t="s">
        <v>74</v>
      </c>
      <c r="AF32" t="s">
        <v>74</v>
      </c>
      <c r="AG32">
        <v>31</v>
      </c>
      <c r="AH32">
        <v>14</v>
      </c>
      <c r="AI32">
        <v>15</v>
      </c>
      <c r="AJ32">
        <v>0</v>
      </c>
      <c r="AK32">
        <v>3</v>
      </c>
      <c r="AL32" t="s">
        <v>553</v>
      </c>
      <c r="AM32" t="s">
        <v>554</v>
      </c>
      <c r="AN32" t="s">
        <v>555</v>
      </c>
      <c r="AO32" t="s">
        <v>556</v>
      </c>
      <c r="AP32" t="s">
        <v>74</v>
      </c>
      <c r="AQ32" t="s">
        <v>74</v>
      </c>
      <c r="AR32" t="s">
        <v>557</v>
      </c>
      <c r="AS32" t="s">
        <v>558</v>
      </c>
      <c r="AT32" t="s">
        <v>537</v>
      </c>
      <c r="AU32">
        <v>1999</v>
      </c>
      <c r="AV32">
        <v>17</v>
      </c>
      <c r="AW32">
        <v>11</v>
      </c>
      <c r="AX32" t="s">
        <v>74</v>
      </c>
      <c r="AY32" t="s">
        <v>74</v>
      </c>
      <c r="AZ32" t="s">
        <v>74</v>
      </c>
      <c r="BA32" t="s">
        <v>74</v>
      </c>
      <c r="BB32">
        <v>1369</v>
      </c>
      <c r="BC32">
        <v>1384</v>
      </c>
      <c r="BD32" t="s">
        <v>74</v>
      </c>
      <c r="BE32" t="s">
        <v>559</v>
      </c>
      <c r="BF32" t="str">
        <f>HYPERLINK("http://dx.doi.org/10.1007/s00585-999-1369-6","http://dx.doi.org/10.1007/s00585-999-1369-6")</f>
        <v>http://dx.doi.org/10.1007/s00585-999-1369-6</v>
      </c>
      <c r="BG32" t="s">
        <v>74</v>
      </c>
      <c r="BH32" t="s">
        <v>74</v>
      </c>
      <c r="BI32">
        <v>16</v>
      </c>
      <c r="BJ32" t="s">
        <v>560</v>
      </c>
      <c r="BK32" t="s">
        <v>96</v>
      </c>
      <c r="BL32" t="s">
        <v>561</v>
      </c>
      <c r="BM32" t="s">
        <v>562</v>
      </c>
      <c r="BN32" t="s">
        <v>74</v>
      </c>
      <c r="BO32" t="s">
        <v>563</v>
      </c>
      <c r="BP32" t="s">
        <v>74</v>
      </c>
      <c r="BQ32" t="s">
        <v>74</v>
      </c>
      <c r="BR32" t="s">
        <v>99</v>
      </c>
      <c r="BS32" t="s">
        <v>564</v>
      </c>
      <c r="BT32" t="str">
        <f>HYPERLINK("https%3A%2F%2Fwww.webofscience.com%2Fwos%2Fwoscc%2Ffull-record%2FWOS:000083878000002","View Full Record in Web of Science")</f>
        <v>View Full Record in Web of Science</v>
      </c>
    </row>
    <row r="33" spans="1:72" x14ac:dyDescent="0.15">
      <c r="A33" t="s">
        <v>72</v>
      </c>
      <c r="B33" t="s">
        <v>565</v>
      </c>
      <c r="C33" t="s">
        <v>74</v>
      </c>
      <c r="D33" t="s">
        <v>74</v>
      </c>
      <c r="E33" t="s">
        <v>74</v>
      </c>
      <c r="F33" t="s">
        <v>565</v>
      </c>
      <c r="G33" t="s">
        <v>74</v>
      </c>
      <c r="H33" t="s">
        <v>74</v>
      </c>
      <c r="I33" t="s">
        <v>566</v>
      </c>
      <c r="J33" t="s">
        <v>544</v>
      </c>
      <c r="K33" t="s">
        <v>74</v>
      </c>
      <c r="L33" t="s">
        <v>74</v>
      </c>
      <c r="M33" t="s">
        <v>77</v>
      </c>
      <c r="N33" t="s">
        <v>78</v>
      </c>
      <c r="O33" t="s">
        <v>74</v>
      </c>
      <c r="P33" t="s">
        <v>74</v>
      </c>
      <c r="Q33" t="s">
        <v>74</v>
      </c>
      <c r="R33" t="s">
        <v>74</v>
      </c>
      <c r="S33" t="s">
        <v>74</v>
      </c>
      <c r="T33" t="s">
        <v>567</v>
      </c>
      <c r="U33" t="s">
        <v>568</v>
      </c>
      <c r="V33" t="s">
        <v>569</v>
      </c>
      <c r="W33" t="s">
        <v>570</v>
      </c>
      <c r="X33" t="s">
        <v>571</v>
      </c>
      <c r="Y33" t="s">
        <v>572</v>
      </c>
      <c r="Z33" t="s">
        <v>74</v>
      </c>
      <c r="AA33" t="s">
        <v>74</v>
      </c>
      <c r="AB33" t="s">
        <v>573</v>
      </c>
      <c r="AC33" t="s">
        <v>74</v>
      </c>
      <c r="AD33" t="s">
        <v>74</v>
      </c>
      <c r="AE33" t="s">
        <v>74</v>
      </c>
      <c r="AF33" t="s">
        <v>74</v>
      </c>
      <c r="AG33">
        <v>43</v>
      </c>
      <c r="AH33">
        <v>14</v>
      </c>
      <c r="AI33">
        <v>17</v>
      </c>
      <c r="AJ33">
        <v>1</v>
      </c>
      <c r="AK33">
        <v>2</v>
      </c>
      <c r="AL33" t="s">
        <v>553</v>
      </c>
      <c r="AM33" t="s">
        <v>554</v>
      </c>
      <c r="AN33" t="s">
        <v>555</v>
      </c>
      <c r="AO33" t="s">
        <v>556</v>
      </c>
      <c r="AP33" t="s">
        <v>74</v>
      </c>
      <c r="AQ33" t="s">
        <v>74</v>
      </c>
      <c r="AR33" t="s">
        <v>557</v>
      </c>
      <c r="AS33" t="s">
        <v>558</v>
      </c>
      <c r="AT33" t="s">
        <v>537</v>
      </c>
      <c r="AU33">
        <v>1999</v>
      </c>
      <c r="AV33">
        <v>17</v>
      </c>
      <c r="AW33">
        <v>11</v>
      </c>
      <c r="AX33" t="s">
        <v>74</v>
      </c>
      <c r="AY33" t="s">
        <v>74</v>
      </c>
      <c r="AZ33" t="s">
        <v>74</v>
      </c>
      <c r="BA33" t="s">
        <v>74</v>
      </c>
      <c r="BB33">
        <v>1478</v>
      </c>
      <c r="BC33">
        <v>1492</v>
      </c>
      <c r="BD33" t="s">
        <v>74</v>
      </c>
      <c r="BE33" t="s">
        <v>574</v>
      </c>
      <c r="BF33" t="str">
        <f>HYPERLINK("http://dx.doi.org/10.1007/s005850050872","http://dx.doi.org/10.1007/s005850050872")</f>
        <v>http://dx.doi.org/10.1007/s005850050872</v>
      </c>
      <c r="BG33" t="s">
        <v>74</v>
      </c>
      <c r="BH33" t="s">
        <v>74</v>
      </c>
      <c r="BI33">
        <v>15</v>
      </c>
      <c r="BJ33" t="s">
        <v>560</v>
      </c>
      <c r="BK33" t="s">
        <v>96</v>
      </c>
      <c r="BL33" t="s">
        <v>561</v>
      </c>
      <c r="BM33" t="s">
        <v>562</v>
      </c>
      <c r="BN33" t="s">
        <v>74</v>
      </c>
      <c r="BO33" t="s">
        <v>575</v>
      </c>
      <c r="BP33" t="s">
        <v>74</v>
      </c>
      <c r="BQ33" t="s">
        <v>74</v>
      </c>
      <c r="BR33" t="s">
        <v>99</v>
      </c>
      <c r="BS33" t="s">
        <v>576</v>
      </c>
      <c r="BT33" t="str">
        <f>HYPERLINK("https%3A%2F%2Fwww.webofscience.com%2Fwos%2Fwoscc%2Ffull-record%2FWOS:000083878000011","View Full Record in Web of Science")</f>
        <v>View Full Record in Web of Science</v>
      </c>
    </row>
    <row r="34" spans="1:72" x14ac:dyDescent="0.15">
      <c r="A34" t="s">
        <v>72</v>
      </c>
      <c r="B34" t="s">
        <v>577</v>
      </c>
      <c r="C34" t="s">
        <v>74</v>
      </c>
      <c r="D34" t="s">
        <v>74</v>
      </c>
      <c r="E34" t="s">
        <v>74</v>
      </c>
      <c r="F34" t="s">
        <v>577</v>
      </c>
      <c r="G34" t="s">
        <v>74</v>
      </c>
      <c r="H34" t="s">
        <v>74</v>
      </c>
      <c r="I34" t="s">
        <v>578</v>
      </c>
      <c r="J34" t="s">
        <v>579</v>
      </c>
      <c r="K34" t="s">
        <v>74</v>
      </c>
      <c r="L34" t="s">
        <v>74</v>
      </c>
      <c r="M34" t="s">
        <v>77</v>
      </c>
      <c r="N34" t="s">
        <v>78</v>
      </c>
      <c r="O34" t="s">
        <v>74</v>
      </c>
      <c r="P34" t="s">
        <v>74</v>
      </c>
      <c r="Q34" t="s">
        <v>74</v>
      </c>
      <c r="R34" t="s">
        <v>74</v>
      </c>
      <c r="S34" t="s">
        <v>74</v>
      </c>
      <c r="T34" t="s">
        <v>74</v>
      </c>
      <c r="U34" t="s">
        <v>580</v>
      </c>
      <c r="V34" t="s">
        <v>581</v>
      </c>
      <c r="W34" t="s">
        <v>582</v>
      </c>
      <c r="X34" t="s">
        <v>583</v>
      </c>
      <c r="Y34" t="s">
        <v>584</v>
      </c>
      <c r="Z34" t="s">
        <v>585</v>
      </c>
      <c r="AA34" t="s">
        <v>586</v>
      </c>
      <c r="AB34" t="s">
        <v>587</v>
      </c>
      <c r="AC34" t="s">
        <v>74</v>
      </c>
      <c r="AD34" t="s">
        <v>74</v>
      </c>
      <c r="AE34" t="s">
        <v>74</v>
      </c>
      <c r="AF34" t="s">
        <v>74</v>
      </c>
      <c r="AG34">
        <v>39</v>
      </c>
      <c r="AH34">
        <v>34</v>
      </c>
      <c r="AI34">
        <v>36</v>
      </c>
      <c r="AJ34">
        <v>0</v>
      </c>
      <c r="AK34">
        <v>7</v>
      </c>
      <c r="AL34" t="s">
        <v>588</v>
      </c>
      <c r="AM34" t="s">
        <v>589</v>
      </c>
      <c r="AN34" t="s">
        <v>590</v>
      </c>
      <c r="AO34" t="s">
        <v>591</v>
      </c>
      <c r="AP34" t="s">
        <v>592</v>
      </c>
      <c r="AQ34" t="s">
        <v>74</v>
      </c>
      <c r="AR34" t="s">
        <v>593</v>
      </c>
      <c r="AS34" t="s">
        <v>594</v>
      </c>
      <c r="AT34" t="s">
        <v>537</v>
      </c>
      <c r="AU34">
        <v>1999</v>
      </c>
      <c r="AV34">
        <v>31</v>
      </c>
      <c r="AW34">
        <v>4</v>
      </c>
      <c r="AX34" t="s">
        <v>74</v>
      </c>
      <c r="AY34" t="s">
        <v>74</v>
      </c>
      <c r="AZ34" t="s">
        <v>74</v>
      </c>
      <c r="BA34" t="s">
        <v>74</v>
      </c>
      <c r="BB34">
        <v>333</v>
      </c>
      <c r="BC34">
        <v>340</v>
      </c>
      <c r="BD34" t="s">
        <v>74</v>
      </c>
      <c r="BE34" t="s">
        <v>595</v>
      </c>
      <c r="BF34" t="str">
        <f>HYPERLINK("http://dx.doi.org/10.2307/1552582","http://dx.doi.org/10.2307/1552582")</f>
        <v>http://dx.doi.org/10.2307/1552582</v>
      </c>
      <c r="BG34" t="s">
        <v>74</v>
      </c>
      <c r="BH34" t="s">
        <v>74</v>
      </c>
      <c r="BI34">
        <v>8</v>
      </c>
      <c r="BJ34" t="s">
        <v>596</v>
      </c>
      <c r="BK34" t="s">
        <v>96</v>
      </c>
      <c r="BL34" t="s">
        <v>597</v>
      </c>
      <c r="BM34" t="s">
        <v>598</v>
      </c>
      <c r="BN34" t="s">
        <v>74</v>
      </c>
      <c r="BO34" t="s">
        <v>250</v>
      </c>
      <c r="BP34" t="s">
        <v>74</v>
      </c>
      <c r="BQ34" t="s">
        <v>74</v>
      </c>
      <c r="BR34" t="s">
        <v>99</v>
      </c>
      <c r="BS34" t="s">
        <v>599</v>
      </c>
      <c r="BT34" t="str">
        <f>HYPERLINK("https%3A%2F%2Fwww.webofscience.com%2Fwos%2Fwoscc%2Ffull-record%2FWOS:000084350100001","View Full Record in Web of Science")</f>
        <v>View Full Record in Web of Science</v>
      </c>
    </row>
    <row r="35" spans="1:72" x14ac:dyDescent="0.15">
      <c r="A35" t="s">
        <v>72</v>
      </c>
      <c r="B35" t="s">
        <v>600</v>
      </c>
      <c r="C35" t="s">
        <v>74</v>
      </c>
      <c r="D35" t="s">
        <v>74</v>
      </c>
      <c r="E35" t="s">
        <v>74</v>
      </c>
      <c r="F35" t="s">
        <v>600</v>
      </c>
      <c r="G35" t="s">
        <v>74</v>
      </c>
      <c r="H35" t="s">
        <v>74</v>
      </c>
      <c r="I35" t="s">
        <v>601</v>
      </c>
      <c r="J35" t="s">
        <v>579</v>
      </c>
      <c r="K35" t="s">
        <v>74</v>
      </c>
      <c r="L35" t="s">
        <v>74</v>
      </c>
      <c r="M35" t="s">
        <v>77</v>
      </c>
      <c r="N35" t="s">
        <v>78</v>
      </c>
      <c r="O35" t="s">
        <v>74</v>
      </c>
      <c r="P35" t="s">
        <v>74</v>
      </c>
      <c r="Q35" t="s">
        <v>74</v>
      </c>
      <c r="R35" t="s">
        <v>74</v>
      </c>
      <c r="S35" t="s">
        <v>74</v>
      </c>
      <c r="T35" t="s">
        <v>74</v>
      </c>
      <c r="U35" t="s">
        <v>602</v>
      </c>
      <c r="V35" t="s">
        <v>603</v>
      </c>
      <c r="W35" t="s">
        <v>604</v>
      </c>
      <c r="X35" t="s">
        <v>605</v>
      </c>
      <c r="Y35" t="s">
        <v>606</v>
      </c>
      <c r="Z35" t="s">
        <v>74</v>
      </c>
      <c r="AA35" t="s">
        <v>607</v>
      </c>
      <c r="AB35" t="s">
        <v>608</v>
      </c>
      <c r="AC35" t="s">
        <v>74</v>
      </c>
      <c r="AD35" t="s">
        <v>74</v>
      </c>
      <c r="AE35" t="s">
        <v>74</v>
      </c>
      <c r="AF35" t="s">
        <v>74</v>
      </c>
      <c r="AG35">
        <v>36</v>
      </c>
      <c r="AH35">
        <v>133</v>
      </c>
      <c r="AI35">
        <v>141</v>
      </c>
      <c r="AJ35">
        <v>2</v>
      </c>
      <c r="AK35">
        <v>33</v>
      </c>
      <c r="AL35" t="s">
        <v>588</v>
      </c>
      <c r="AM35" t="s">
        <v>589</v>
      </c>
      <c r="AN35" t="s">
        <v>590</v>
      </c>
      <c r="AO35" t="s">
        <v>591</v>
      </c>
      <c r="AP35" t="s">
        <v>74</v>
      </c>
      <c r="AQ35" t="s">
        <v>74</v>
      </c>
      <c r="AR35" t="s">
        <v>593</v>
      </c>
      <c r="AS35" t="s">
        <v>594</v>
      </c>
      <c r="AT35" t="s">
        <v>537</v>
      </c>
      <c r="AU35">
        <v>1999</v>
      </c>
      <c r="AV35">
        <v>31</v>
      </c>
      <c r="AW35">
        <v>4</v>
      </c>
      <c r="AX35" t="s">
        <v>74</v>
      </c>
      <c r="AY35" t="s">
        <v>74</v>
      </c>
      <c r="AZ35" t="s">
        <v>74</v>
      </c>
      <c r="BA35" t="s">
        <v>74</v>
      </c>
      <c r="BB35">
        <v>341</v>
      </c>
      <c r="BC35">
        <v>352</v>
      </c>
      <c r="BD35" t="s">
        <v>74</v>
      </c>
      <c r="BE35" t="s">
        <v>609</v>
      </c>
      <c r="BF35" t="str">
        <f>HYPERLINK("http://dx.doi.org/10.2307/1552583","http://dx.doi.org/10.2307/1552583")</f>
        <v>http://dx.doi.org/10.2307/1552583</v>
      </c>
      <c r="BG35" t="s">
        <v>74</v>
      </c>
      <c r="BH35" t="s">
        <v>74</v>
      </c>
      <c r="BI35">
        <v>12</v>
      </c>
      <c r="BJ35" t="s">
        <v>596</v>
      </c>
      <c r="BK35" t="s">
        <v>96</v>
      </c>
      <c r="BL35" t="s">
        <v>597</v>
      </c>
      <c r="BM35" t="s">
        <v>598</v>
      </c>
      <c r="BN35" t="s">
        <v>74</v>
      </c>
      <c r="BO35" t="s">
        <v>610</v>
      </c>
      <c r="BP35" t="s">
        <v>74</v>
      </c>
      <c r="BQ35" t="s">
        <v>74</v>
      </c>
      <c r="BR35" t="s">
        <v>99</v>
      </c>
      <c r="BS35" t="s">
        <v>611</v>
      </c>
      <c r="BT35" t="str">
        <f>HYPERLINK("https%3A%2F%2Fwww.webofscience.com%2Fwos%2Fwoscc%2Ffull-record%2FWOS:000084350100002","View Full Record in Web of Science")</f>
        <v>View Full Record in Web of Science</v>
      </c>
    </row>
    <row r="36" spans="1:72" x14ac:dyDescent="0.15">
      <c r="A36" t="s">
        <v>72</v>
      </c>
      <c r="B36" t="s">
        <v>612</v>
      </c>
      <c r="C36" t="s">
        <v>74</v>
      </c>
      <c r="D36" t="s">
        <v>74</v>
      </c>
      <c r="E36" t="s">
        <v>74</v>
      </c>
      <c r="F36" t="s">
        <v>612</v>
      </c>
      <c r="G36" t="s">
        <v>74</v>
      </c>
      <c r="H36" t="s">
        <v>74</v>
      </c>
      <c r="I36" t="s">
        <v>613</v>
      </c>
      <c r="J36" t="s">
        <v>579</v>
      </c>
      <c r="K36" t="s">
        <v>74</v>
      </c>
      <c r="L36" t="s">
        <v>74</v>
      </c>
      <c r="M36" t="s">
        <v>77</v>
      </c>
      <c r="N36" t="s">
        <v>78</v>
      </c>
      <c r="O36" t="s">
        <v>74</v>
      </c>
      <c r="P36" t="s">
        <v>74</v>
      </c>
      <c r="Q36" t="s">
        <v>74</v>
      </c>
      <c r="R36" t="s">
        <v>74</v>
      </c>
      <c r="S36" t="s">
        <v>74</v>
      </c>
      <c r="T36" t="s">
        <v>74</v>
      </c>
      <c r="U36" t="s">
        <v>614</v>
      </c>
      <c r="V36" t="s">
        <v>615</v>
      </c>
      <c r="W36" t="s">
        <v>616</v>
      </c>
      <c r="X36" t="s">
        <v>617</v>
      </c>
      <c r="Y36" t="s">
        <v>618</v>
      </c>
      <c r="Z36" t="s">
        <v>619</v>
      </c>
      <c r="AA36" t="s">
        <v>620</v>
      </c>
      <c r="AB36" t="s">
        <v>621</v>
      </c>
      <c r="AC36" t="s">
        <v>74</v>
      </c>
      <c r="AD36" t="s">
        <v>74</v>
      </c>
      <c r="AE36" t="s">
        <v>74</v>
      </c>
      <c r="AF36" t="s">
        <v>74</v>
      </c>
      <c r="AG36">
        <v>84</v>
      </c>
      <c r="AH36">
        <v>59</v>
      </c>
      <c r="AI36">
        <v>72</v>
      </c>
      <c r="AJ36">
        <v>0</v>
      </c>
      <c r="AK36">
        <v>22</v>
      </c>
      <c r="AL36" t="s">
        <v>588</v>
      </c>
      <c r="AM36" t="s">
        <v>589</v>
      </c>
      <c r="AN36" t="s">
        <v>590</v>
      </c>
      <c r="AO36" t="s">
        <v>591</v>
      </c>
      <c r="AP36" t="s">
        <v>592</v>
      </c>
      <c r="AQ36" t="s">
        <v>74</v>
      </c>
      <c r="AR36" t="s">
        <v>593</v>
      </c>
      <c r="AS36" t="s">
        <v>594</v>
      </c>
      <c r="AT36" t="s">
        <v>537</v>
      </c>
      <c r="AU36">
        <v>1999</v>
      </c>
      <c r="AV36">
        <v>31</v>
      </c>
      <c r="AW36">
        <v>4</v>
      </c>
      <c r="AX36" t="s">
        <v>74</v>
      </c>
      <c r="AY36" t="s">
        <v>74</v>
      </c>
      <c r="AZ36" t="s">
        <v>74</v>
      </c>
      <c r="BA36" t="s">
        <v>74</v>
      </c>
      <c r="BB36">
        <v>353</v>
      </c>
      <c r="BC36">
        <v>365</v>
      </c>
      <c r="BD36" t="s">
        <v>74</v>
      </c>
      <c r="BE36" t="s">
        <v>622</v>
      </c>
      <c r="BF36" t="str">
        <f>HYPERLINK("http://dx.doi.org/10.2307/1552584","http://dx.doi.org/10.2307/1552584")</f>
        <v>http://dx.doi.org/10.2307/1552584</v>
      </c>
      <c r="BG36" t="s">
        <v>74</v>
      </c>
      <c r="BH36" t="s">
        <v>74</v>
      </c>
      <c r="BI36">
        <v>13</v>
      </c>
      <c r="BJ36" t="s">
        <v>596</v>
      </c>
      <c r="BK36" t="s">
        <v>96</v>
      </c>
      <c r="BL36" t="s">
        <v>597</v>
      </c>
      <c r="BM36" t="s">
        <v>598</v>
      </c>
      <c r="BN36" t="s">
        <v>74</v>
      </c>
      <c r="BO36" t="s">
        <v>74</v>
      </c>
      <c r="BP36" t="s">
        <v>74</v>
      </c>
      <c r="BQ36" t="s">
        <v>74</v>
      </c>
      <c r="BR36" t="s">
        <v>99</v>
      </c>
      <c r="BS36" t="s">
        <v>623</v>
      </c>
      <c r="BT36" t="str">
        <f>HYPERLINK("https%3A%2F%2Fwww.webofscience.com%2Fwos%2Fwoscc%2Ffull-record%2FWOS:000084350100003","View Full Record in Web of Science")</f>
        <v>View Full Record in Web of Science</v>
      </c>
    </row>
    <row r="37" spans="1:72" x14ac:dyDescent="0.15">
      <c r="A37" t="s">
        <v>72</v>
      </c>
      <c r="B37" t="s">
        <v>624</v>
      </c>
      <c r="C37" t="s">
        <v>74</v>
      </c>
      <c r="D37" t="s">
        <v>74</v>
      </c>
      <c r="E37" t="s">
        <v>74</v>
      </c>
      <c r="F37" t="s">
        <v>624</v>
      </c>
      <c r="G37" t="s">
        <v>74</v>
      </c>
      <c r="H37" t="s">
        <v>74</v>
      </c>
      <c r="I37" t="s">
        <v>625</v>
      </c>
      <c r="J37" t="s">
        <v>579</v>
      </c>
      <c r="K37" t="s">
        <v>74</v>
      </c>
      <c r="L37" t="s">
        <v>74</v>
      </c>
      <c r="M37" t="s">
        <v>77</v>
      </c>
      <c r="N37" t="s">
        <v>78</v>
      </c>
      <c r="O37" t="s">
        <v>74</v>
      </c>
      <c r="P37" t="s">
        <v>74</v>
      </c>
      <c r="Q37" t="s">
        <v>74</v>
      </c>
      <c r="R37" t="s">
        <v>74</v>
      </c>
      <c r="S37" t="s">
        <v>74</v>
      </c>
      <c r="T37" t="s">
        <v>74</v>
      </c>
      <c r="U37" t="s">
        <v>626</v>
      </c>
      <c r="V37" t="s">
        <v>627</v>
      </c>
      <c r="W37" t="s">
        <v>628</v>
      </c>
      <c r="X37" t="s">
        <v>629</v>
      </c>
      <c r="Y37" t="s">
        <v>630</v>
      </c>
      <c r="Z37" t="s">
        <v>74</v>
      </c>
      <c r="AA37" t="s">
        <v>74</v>
      </c>
      <c r="AB37" t="s">
        <v>74</v>
      </c>
      <c r="AC37" t="s">
        <v>74</v>
      </c>
      <c r="AD37" t="s">
        <v>74</v>
      </c>
      <c r="AE37" t="s">
        <v>74</v>
      </c>
      <c r="AF37" t="s">
        <v>74</v>
      </c>
      <c r="AG37">
        <v>58</v>
      </c>
      <c r="AH37">
        <v>28</v>
      </c>
      <c r="AI37">
        <v>40</v>
      </c>
      <c r="AJ37">
        <v>0</v>
      </c>
      <c r="AK37">
        <v>6</v>
      </c>
      <c r="AL37" t="s">
        <v>588</v>
      </c>
      <c r="AM37" t="s">
        <v>589</v>
      </c>
      <c r="AN37" t="s">
        <v>590</v>
      </c>
      <c r="AO37" t="s">
        <v>591</v>
      </c>
      <c r="AP37" t="s">
        <v>74</v>
      </c>
      <c r="AQ37" t="s">
        <v>74</v>
      </c>
      <c r="AR37" t="s">
        <v>593</v>
      </c>
      <c r="AS37" t="s">
        <v>594</v>
      </c>
      <c r="AT37" t="s">
        <v>537</v>
      </c>
      <c r="AU37">
        <v>1999</v>
      </c>
      <c r="AV37">
        <v>31</v>
      </c>
      <c r="AW37">
        <v>4</v>
      </c>
      <c r="AX37" t="s">
        <v>74</v>
      </c>
      <c r="AY37" t="s">
        <v>74</v>
      </c>
      <c r="AZ37" t="s">
        <v>74</v>
      </c>
      <c r="BA37" t="s">
        <v>74</v>
      </c>
      <c r="BB37">
        <v>366</v>
      </c>
      <c r="BC37">
        <v>378</v>
      </c>
      <c r="BD37" t="s">
        <v>74</v>
      </c>
      <c r="BE37" t="s">
        <v>631</v>
      </c>
      <c r="BF37" t="str">
        <f>HYPERLINK("http://dx.doi.org/10.2307/1552585","http://dx.doi.org/10.2307/1552585")</f>
        <v>http://dx.doi.org/10.2307/1552585</v>
      </c>
      <c r="BG37" t="s">
        <v>74</v>
      </c>
      <c r="BH37" t="s">
        <v>74</v>
      </c>
      <c r="BI37">
        <v>13</v>
      </c>
      <c r="BJ37" t="s">
        <v>596</v>
      </c>
      <c r="BK37" t="s">
        <v>96</v>
      </c>
      <c r="BL37" t="s">
        <v>597</v>
      </c>
      <c r="BM37" t="s">
        <v>598</v>
      </c>
      <c r="BN37" t="s">
        <v>74</v>
      </c>
      <c r="BO37" t="s">
        <v>250</v>
      </c>
      <c r="BP37" t="s">
        <v>74</v>
      </c>
      <c r="BQ37" t="s">
        <v>74</v>
      </c>
      <c r="BR37" t="s">
        <v>99</v>
      </c>
      <c r="BS37" t="s">
        <v>632</v>
      </c>
      <c r="BT37" t="str">
        <f>HYPERLINK("https%3A%2F%2Fwww.webofscience.com%2Fwos%2Fwoscc%2Ffull-record%2FWOS:000084350100004","View Full Record in Web of Science")</f>
        <v>View Full Record in Web of Science</v>
      </c>
    </row>
    <row r="38" spans="1:72" x14ac:dyDescent="0.15">
      <c r="A38" t="s">
        <v>72</v>
      </c>
      <c r="B38" t="s">
        <v>633</v>
      </c>
      <c r="C38" t="s">
        <v>74</v>
      </c>
      <c r="D38" t="s">
        <v>74</v>
      </c>
      <c r="E38" t="s">
        <v>74</v>
      </c>
      <c r="F38" t="s">
        <v>633</v>
      </c>
      <c r="G38" t="s">
        <v>74</v>
      </c>
      <c r="H38" t="s">
        <v>74</v>
      </c>
      <c r="I38" t="s">
        <v>634</v>
      </c>
      <c r="J38" t="s">
        <v>579</v>
      </c>
      <c r="K38" t="s">
        <v>74</v>
      </c>
      <c r="L38" t="s">
        <v>74</v>
      </c>
      <c r="M38" t="s">
        <v>77</v>
      </c>
      <c r="N38" t="s">
        <v>78</v>
      </c>
      <c r="O38" t="s">
        <v>74</v>
      </c>
      <c r="P38" t="s">
        <v>74</v>
      </c>
      <c r="Q38" t="s">
        <v>74</v>
      </c>
      <c r="R38" t="s">
        <v>74</v>
      </c>
      <c r="S38" t="s">
        <v>74</v>
      </c>
      <c r="T38" t="s">
        <v>74</v>
      </c>
      <c r="U38" t="s">
        <v>635</v>
      </c>
      <c r="V38" t="s">
        <v>636</v>
      </c>
      <c r="W38" t="s">
        <v>637</v>
      </c>
      <c r="X38" t="s">
        <v>638</v>
      </c>
      <c r="Y38" t="s">
        <v>639</v>
      </c>
      <c r="Z38" t="s">
        <v>640</v>
      </c>
      <c r="AA38" t="s">
        <v>74</v>
      </c>
      <c r="AB38" t="s">
        <v>74</v>
      </c>
      <c r="AC38" t="s">
        <v>74</v>
      </c>
      <c r="AD38" t="s">
        <v>74</v>
      </c>
      <c r="AE38" t="s">
        <v>74</v>
      </c>
      <c r="AF38" t="s">
        <v>74</v>
      </c>
      <c r="AG38">
        <v>57</v>
      </c>
      <c r="AH38">
        <v>47</v>
      </c>
      <c r="AI38">
        <v>56</v>
      </c>
      <c r="AJ38">
        <v>0</v>
      </c>
      <c r="AK38">
        <v>23</v>
      </c>
      <c r="AL38" t="s">
        <v>588</v>
      </c>
      <c r="AM38" t="s">
        <v>589</v>
      </c>
      <c r="AN38" t="s">
        <v>590</v>
      </c>
      <c r="AO38" t="s">
        <v>591</v>
      </c>
      <c r="AP38" t="s">
        <v>592</v>
      </c>
      <c r="AQ38" t="s">
        <v>74</v>
      </c>
      <c r="AR38" t="s">
        <v>593</v>
      </c>
      <c r="AS38" t="s">
        <v>594</v>
      </c>
      <c r="AT38" t="s">
        <v>537</v>
      </c>
      <c r="AU38">
        <v>1999</v>
      </c>
      <c r="AV38">
        <v>31</v>
      </c>
      <c r="AW38">
        <v>4</v>
      </c>
      <c r="AX38" t="s">
        <v>74</v>
      </c>
      <c r="AY38" t="s">
        <v>74</v>
      </c>
      <c r="AZ38" t="s">
        <v>74</v>
      </c>
      <c r="BA38" t="s">
        <v>74</v>
      </c>
      <c r="BB38">
        <v>379</v>
      </c>
      <c r="BC38">
        <v>388</v>
      </c>
      <c r="BD38" t="s">
        <v>74</v>
      </c>
      <c r="BE38" t="s">
        <v>641</v>
      </c>
      <c r="BF38" t="str">
        <f>HYPERLINK("http://dx.doi.org/10.2307/1552586","http://dx.doi.org/10.2307/1552586")</f>
        <v>http://dx.doi.org/10.2307/1552586</v>
      </c>
      <c r="BG38" t="s">
        <v>74</v>
      </c>
      <c r="BH38" t="s">
        <v>74</v>
      </c>
      <c r="BI38">
        <v>10</v>
      </c>
      <c r="BJ38" t="s">
        <v>596</v>
      </c>
      <c r="BK38" t="s">
        <v>96</v>
      </c>
      <c r="BL38" t="s">
        <v>597</v>
      </c>
      <c r="BM38" t="s">
        <v>598</v>
      </c>
      <c r="BN38" t="s">
        <v>74</v>
      </c>
      <c r="BO38" t="s">
        <v>250</v>
      </c>
      <c r="BP38" t="s">
        <v>74</v>
      </c>
      <c r="BQ38" t="s">
        <v>74</v>
      </c>
      <c r="BR38" t="s">
        <v>99</v>
      </c>
      <c r="BS38" t="s">
        <v>642</v>
      </c>
      <c r="BT38" t="str">
        <f>HYPERLINK("https%3A%2F%2Fwww.webofscience.com%2Fwos%2Fwoscc%2Ffull-record%2FWOS:000084350100005","View Full Record in Web of Science")</f>
        <v>View Full Record in Web of Science</v>
      </c>
    </row>
    <row r="39" spans="1:72" x14ac:dyDescent="0.15">
      <c r="A39" t="s">
        <v>72</v>
      </c>
      <c r="B39" t="s">
        <v>643</v>
      </c>
      <c r="C39" t="s">
        <v>74</v>
      </c>
      <c r="D39" t="s">
        <v>74</v>
      </c>
      <c r="E39" t="s">
        <v>74</v>
      </c>
      <c r="F39" t="s">
        <v>643</v>
      </c>
      <c r="G39" t="s">
        <v>74</v>
      </c>
      <c r="H39" t="s">
        <v>74</v>
      </c>
      <c r="I39" t="s">
        <v>644</v>
      </c>
      <c r="J39" t="s">
        <v>579</v>
      </c>
      <c r="K39" t="s">
        <v>74</v>
      </c>
      <c r="L39" t="s">
        <v>74</v>
      </c>
      <c r="M39" t="s">
        <v>77</v>
      </c>
      <c r="N39" t="s">
        <v>78</v>
      </c>
      <c r="O39" t="s">
        <v>74</v>
      </c>
      <c r="P39" t="s">
        <v>74</v>
      </c>
      <c r="Q39" t="s">
        <v>74</v>
      </c>
      <c r="R39" t="s">
        <v>74</v>
      </c>
      <c r="S39" t="s">
        <v>74</v>
      </c>
      <c r="T39" t="s">
        <v>74</v>
      </c>
      <c r="U39" t="s">
        <v>645</v>
      </c>
      <c r="V39" t="s">
        <v>646</v>
      </c>
      <c r="W39" t="s">
        <v>647</v>
      </c>
      <c r="X39" t="s">
        <v>648</v>
      </c>
      <c r="Y39" t="s">
        <v>649</v>
      </c>
      <c r="Z39" t="s">
        <v>650</v>
      </c>
      <c r="AA39" t="s">
        <v>651</v>
      </c>
      <c r="AB39" t="s">
        <v>652</v>
      </c>
      <c r="AC39" t="s">
        <v>74</v>
      </c>
      <c r="AD39" t="s">
        <v>74</v>
      </c>
      <c r="AE39" t="s">
        <v>74</v>
      </c>
      <c r="AF39" t="s">
        <v>74</v>
      </c>
      <c r="AG39">
        <v>55</v>
      </c>
      <c r="AH39">
        <v>12</v>
      </c>
      <c r="AI39">
        <v>15</v>
      </c>
      <c r="AJ39">
        <v>0</v>
      </c>
      <c r="AK39">
        <v>12</v>
      </c>
      <c r="AL39" t="s">
        <v>588</v>
      </c>
      <c r="AM39" t="s">
        <v>589</v>
      </c>
      <c r="AN39" t="s">
        <v>590</v>
      </c>
      <c r="AO39" t="s">
        <v>591</v>
      </c>
      <c r="AP39" t="s">
        <v>592</v>
      </c>
      <c r="AQ39" t="s">
        <v>74</v>
      </c>
      <c r="AR39" t="s">
        <v>593</v>
      </c>
      <c r="AS39" t="s">
        <v>594</v>
      </c>
      <c r="AT39" t="s">
        <v>537</v>
      </c>
      <c r="AU39">
        <v>1999</v>
      </c>
      <c r="AV39">
        <v>31</v>
      </c>
      <c r="AW39">
        <v>4</v>
      </c>
      <c r="AX39" t="s">
        <v>74</v>
      </c>
      <c r="AY39" t="s">
        <v>74</v>
      </c>
      <c r="AZ39" t="s">
        <v>74</v>
      </c>
      <c r="BA39" t="s">
        <v>74</v>
      </c>
      <c r="BB39">
        <v>389</v>
      </c>
      <c r="BC39">
        <v>399</v>
      </c>
      <c r="BD39" t="s">
        <v>74</v>
      </c>
      <c r="BE39" t="s">
        <v>653</v>
      </c>
      <c r="BF39" t="str">
        <f>HYPERLINK("http://dx.doi.org/10.2307/1552587","http://dx.doi.org/10.2307/1552587")</f>
        <v>http://dx.doi.org/10.2307/1552587</v>
      </c>
      <c r="BG39" t="s">
        <v>74</v>
      </c>
      <c r="BH39" t="s">
        <v>74</v>
      </c>
      <c r="BI39">
        <v>11</v>
      </c>
      <c r="BJ39" t="s">
        <v>596</v>
      </c>
      <c r="BK39" t="s">
        <v>96</v>
      </c>
      <c r="BL39" t="s">
        <v>597</v>
      </c>
      <c r="BM39" t="s">
        <v>598</v>
      </c>
      <c r="BN39" t="s">
        <v>74</v>
      </c>
      <c r="BO39" t="s">
        <v>74</v>
      </c>
      <c r="BP39" t="s">
        <v>74</v>
      </c>
      <c r="BQ39" t="s">
        <v>74</v>
      </c>
      <c r="BR39" t="s">
        <v>99</v>
      </c>
      <c r="BS39" t="s">
        <v>654</v>
      </c>
      <c r="BT39" t="str">
        <f>HYPERLINK("https%3A%2F%2Fwww.webofscience.com%2Fwos%2Fwoscc%2Ffull-record%2FWOS:000084350100006","View Full Record in Web of Science")</f>
        <v>View Full Record in Web of Science</v>
      </c>
    </row>
    <row r="40" spans="1:72" x14ac:dyDescent="0.15">
      <c r="A40" t="s">
        <v>72</v>
      </c>
      <c r="B40" t="s">
        <v>655</v>
      </c>
      <c r="C40" t="s">
        <v>74</v>
      </c>
      <c r="D40" t="s">
        <v>74</v>
      </c>
      <c r="E40" t="s">
        <v>74</v>
      </c>
      <c r="F40" t="s">
        <v>655</v>
      </c>
      <c r="G40" t="s">
        <v>74</v>
      </c>
      <c r="H40" t="s">
        <v>74</v>
      </c>
      <c r="I40" t="s">
        <v>656</v>
      </c>
      <c r="J40" t="s">
        <v>579</v>
      </c>
      <c r="K40" t="s">
        <v>74</v>
      </c>
      <c r="L40" t="s">
        <v>74</v>
      </c>
      <c r="M40" t="s">
        <v>77</v>
      </c>
      <c r="N40" t="s">
        <v>78</v>
      </c>
      <c r="O40" t="s">
        <v>74</v>
      </c>
      <c r="P40" t="s">
        <v>74</v>
      </c>
      <c r="Q40" t="s">
        <v>74</v>
      </c>
      <c r="R40" t="s">
        <v>74</v>
      </c>
      <c r="S40" t="s">
        <v>74</v>
      </c>
      <c r="T40" t="s">
        <v>74</v>
      </c>
      <c r="U40" t="s">
        <v>657</v>
      </c>
      <c r="V40" t="s">
        <v>658</v>
      </c>
      <c r="W40" t="s">
        <v>659</v>
      </c>
      <c r="X40" t="s">
        <v>660</v>
      </c>
      <c r="Y40" t="s">
        <v>661</v>
      </c>
      <c r="Z40" t="s">
        <v>74</v>
      </c>
      <c r="AA40" t="s">
        <v>74</v>
      </c>
      <c r="AB40" t="s">
        <v>74</v>
      </c>
      <c r="AC40" t="s">
        <v>74</v>
      </c>
      <c r="AD40" t="s">
        <v>74</v>
      </c>
      <c r="AE40" t="s">
        <v>74</v>
      </c>
      <c r="AF40" t="s">
        <v>74</v>
      </c>
      <c r="AG40">
        <v>24</v>
      </c>
      <c r="AH40">
        <v>10</v>
      </c>
      <c r="AI40">
        <v>12</v>
      </c>
      <c r="AJ40">
        <v>0</v>
      </c>
      <c r="AK40">
        <v>8</v>
      </c>
      <c r="AL40" t="s">
        <v>588</v>
      </c>
      <c r="AM40" t="s">
        <v>589</v>
      </c>
      <c r="AN40" t="s">
        <v>590</v>
      </c>
      <c r="AO40" t="s">
        <v>591</v>
      </c>
      <c r="AP40" t="s">
        <v>74</v>
      </c>
      <c r="AQ40" t="s">
        <v>74</v>
      </c>
      <c r="AR40" t="s">
        <v>593</v>
      </c>
      <c r="AS40" t="s">
        <v>594</v>
      </c>
      <c r="AT40" t="s">
        <v>537</v>
      </c>
      <c r="AU40">
        <v>1999</v>
      </c>
      <c r="AV40">
        <v>31</v>
      </c>
      <c r="AW40">
        <v>4</v>
      </c>
      <c r="AX40" t="s">
        <v>74</v>
      </c>
      <c r="AY40" t="s">
        <v>74</v>
      </c>
      <c r="AZ40" t="s">
        <v>74</v>
      </c>
      <c r="BA40" t="s">
        <v>74</v>
      </c>
      <c r="BB40">
        <v>400</v>
      </c>
      <c r="BC40">
        <v>406</v>
      </c>
      <c r="BD40" t="s">
        <v>74</v>
      </c>
      <c r="BE40" t="s">
        <v>662</v>
      </c>
      <c r="BF40" t="str">
        <f>HYPERLINK("http://dx.doi.org/10.2307/1552588","http://dx.doi.org/10.2307/1552588")</f>
        <v>http://dx.doi.org/10.2307/1552588</v>
      </c>
      <c r="BG40" t="s">
        <v>74</v>
      </c>
      <c r="BH40" t="s">
        <v>74</v>
      </c>
      <c r="BI40">
        <v>7</v>
      </c>
      <c r="BJ40" t="s">
        <v>596</v>
      </c>
      <c r="BK40" t="s">
        <v>96</v>
      </c>
      <c r="BL40" t="s">
        <v>597</v>
      </c>
      <c r="BM40" t="s">
        <v>598</v>
      </c>
      <c r="BN40" t="s">
        <v>74</v>
      </c>
      <c r="BO40" t="s">
        <v>250</v>
      </c>
      <c r="BP40" t="s">
        <v>74</v>
      </c>
      <c r="BQ40" t="s">
        <v>74</v>
      </c>
      <c r="BR40" t="s">
        <v>99</v>
      </c>
      <c r="BS40" t="s">
        <v>663</v>
      </c>
      <c r="BT40" t="str">
        <f>HYPERLINK("https%3A%2F%2Fwww.webofscience.com%2Fwos%2Fwoscc%2Ffull-record%2FWOS:000084350100007","View Full Record in Web of Science")</f>
        <v>View Full Record in Web of Science</v>
      </c>
    </row>
    <row r="41" spans="1:72" x14ac:dyDescent="0.15">
      <c r="A41" t="s">
        <v>72</v>
      </c>
      <c r="B41" t="s">
        <v>664</v>
      </c>
      <c r="C41" t="s">
        <v>74</v>
      </c>
      <c r="D41" t="s">
        <v>74</v>
      </c>
      <c r="E41" t="s">
        <v>74</v>
      </c>
      <c r="F41" t="s">
        <v>664</v>
      </c>
      <c r="G41" t="s">
        <v>74</v>
      </c>
      <c r="H41" t="s">
        <v>74</v>
      </c>
      <c r="I41" t="s">
        <v>665</v>
      </c>
      <c r="J41" t="s">
        <v>579</v>
      </c>
      <c r="K41" t="s">
        <v>74</v>
      </c>
      <c r="L41" t="s">
        <v>74</v>
      </c>
      <c r="M41" t="s">
        <v>77</v>
      </c>
      <c r="N41" t="s">
        <v>78</v>
      </c>
      <c r="O41" t="s">
        <v>74</v>
      </c>
      <c r="P41" t="s">
        <v>74</v>
      </c>
      <c r="Q41" t="s">
        <v>74</v>
      </c>
      <c r="R41" t="s">
        <v>74</v>
      </c>
      <c r="S41" t="s">
        <v>74</v>
      </c>
      <c r="T41" t="s">
        <v>74</v>
      </c>
      <c r="U41" t="s">
        <v>666</v>
      </c>
      <c r="V41" t="s">
        <v>667</v>
      </c>
      <c r="W41" t="s">
        <v>668</v>
      </c>
      <c r="X41" t="s">
        <v>669</v>
      </c>
      <c r="Y41" t="s">
        <v>670</v>
      </c>
      <c r="Z41" t="s">
        <v>74</v>
      </c>
      <c r="AA41" t="s">
        <v>671</v>
      </c>
      <c r="AB41" t="s">
        <v>672</v>
      </c>
      <c r="AC41" t="s">
        <v>74</v>
      </c>
      <c r="AD41" t="s">
        <v>74</v>
      </c>
      <c r="AE41" t="s">
        <v>74</v>
      </c>
      <c r="AF41" t="s">
        <v>74</v>
      </c>
      <c r="AG41">
        <v>38</v>
      </c>
      <c r="AH41">
        <v>15</v>
      </c>
      <c r="AI41">
        <v>17</v>
      </c>
      <c r="AJ41">
        <v>1</v>
      </c>
      <c r="AK41">
        <v>10</v>
      </c>
      <c r="AL41" t="s">
        <v>588</v>
      </c>
      <c r="AM41" t="s">
        <v>589</v>
      </c>
      <c r="AN41" t="s">
        <v>590</v>
      </c>
      <c r="AO41" t="s">
        <v>591</v>
      </c>
      <c r="AP41" t="s">
        <v>74</v>
      </c>
      <c r="AQ41" t="s">
        <v>74</v>
      </c>
      <c r="AR41" t="s">
        <v>593</v>
      </c>
      <c r="AS41" t="s">
        <v>594</v>
      </c>
      <c r="AT41" t="s">
        <v>537</v>
      </c>
      <c r="AU41">
        <v>1999</v>
      </c>
      <c r="AV41">
        <v>31</v>
      </c>
      <c r="AW41">
        <v>4</v>
      </c>
      <c r="AX41" t="s">
        <v>74</v>
      </c>
      <c r="AY41" t="s">
        <v>74</v>
      </c>
      <c r="AZ41" t="s">
        <v>74</v>
      </c>
      <c r="BA41" t="s">
        <v>74</v>
      </c>
      <c r="BB41">
        <v>407</v>
      </c>
      <c r="BC41">
        <v>411</v>
      </c>
      <c r="BD41" t="s">
        <v>74</v>
      </c>
      <c r="BE41" t="s">
        <v>673</v>
      </c>
      <c r="BF41" t="str">
        <f>HYPERLINK("http://dx.doi.org/10.2307/1552589","http://dx.doi.org/10.2307/1552589")</f>
        <v>http://dx.doi.org/10.2307/1552589</v>
      </c>
      <c r="BG41" t="s">
        <v>74</v>
      </c>
      <c r="BH41" t="s">
        <v>74</v>
      </c>
      <c r="BI41">
        <v>5</v>
      </c>
      <c r="BJ41" t="s">
        <v>596</v>
      </c>
      <c r="BK41" t="s">
        <v>96</v>
      </c>
      <c r="BL41" t="s">
        <v>597</v>
      </c>
      <c r="BM41" t="s">
        <v>598</v>
      </c>
      <c r="BN41" t="s">
        <v>74</v>
      </c>
      <c r="BO41" t="s">
        <v>74</v>
      </c>
      <c r="BP41" t="s">
        <v>74</v>
      </c>
      <c r="BQ41" t="s">
        <v>74</v>
      </c>
      <c r="BR41" t="s">
        <v>99</v>
      </c>
      <c r="BS41" t="s">
        <v>674</v>
      </c>
      <c r="BT41" t="str">
        <f>HYPERLINK("https%3A%2F%2Fwww.webofscience.com%2Fwos%2Fwoscc%2Ffull-record%2FWOS:000084350100008","View Full Record in Web of Science")</f>
        <v>View Full Record in Web of Science</v>
      </c>
    </row>
    <row r="42" spans="1:72" x14ac:dyDescent="0.15">
      <c r="A42" t="s">
        <v>72</v>
      </c>
      <c r="B42" t="s">
        <v>675</v>
      </c>
      <c r="C42" t="s">
        <v>74</v>
      </c>
      <c r="D42" t="s">
        <v>74</v>
      </c>
      <c r="E42" t="s">
        <v>74</v>
      </c>
      <c r="F42" t="s">
        <v>675</v>
      </c>
      <c r="G42" t="s">
        <v>74</v>
      </c>
      <c r="H42" t="s">
        <v>74</v>
      </c>
      <c r="I42" t="s">
        <v>676</v>
      </c>
      <c r="J42" t="s">
        <v>579</v>
      </c>
      <c r="K42" t="s">
        <v>74</v>
      </c>
      <c r="L42" t="s">
        <v>74</v>
      </c>
      <c r="M42" t="s">
        <v>77</v>
      </c>
      <c r="N42" t="s">
        <v>78</v>
      </c>
      <c r="O42" t="s">
        <v>74</v>
      </c>
      <c r="P42" t="s">
        <v>74</v>
      </c>
      <c r="Q42" t="s">
        <v>74</v>
      </c>
      <c r="R42" t="s">
        <v>74</v>
      </c>
      <c r="S42" t="s">
        <v>74</v>
      </c>
      <c r="T42" t="s">
        <v>74</v>
      </c>
      <c r="U42" t="s">
        <v>74</v>
      </c>
      <c r="V42" t="s">
        <v>677</v>
      </c>
      <c r="W42" t="s">
        <v>678</v>
      </c>
      <c r="X42" t="s">
        <v>679</v>
      </c>
      <c r="Y42" t="s">
        <v>680</v>
      </c>
      <c r="Z42" t="s">
        <v>74</v>
      </c>
      <c r="AA42" t="s">
        <v>74</v>
      </c>
      <c r="AB42" t="s">
        <v>74</v>
      </c>
      <c r="AC42" t="s">
        <v>74</v>
      </c>
      <c r="AD42" t="s">
        <v>74</v>
      </c>
      <c r="AE42" t="s">
        <v>74</v>
      </c>
      <c r="AF42" t="s">
        <v>74</v>
      </c>
      <c r="AG42">
        <v>28</v>
      </c>
      <c r="AH42">
        <v>14</v>
      </c>
      <c r="AI42">
        <v>16</v>
      </c>
      <c r="AJ42">
        <v>0</v>
      </c>
      <c r="AK42">
        <v>7</v>
      </c>
      <c r="AL42" t="s">
        <v>588</v>
      </c>
      <c r="AM42" t="s">
        <v>589</v>
      </c>
      <c r="AN42" t="s">
        <v>590</v>
      </c>
      <c r="AO42" t="s">
        <v>591</v>
      </c>
      <c r="AP42" t="s">
        <v>74</v>
      </c>
      <c r="AQ42" t="s">
        <v>74</v>
      </c>
      <c r="AR42" t="s">
        <v>593</v>
      </c>
      <c r="AS42" t="s">
        <v>594</v>
      </c>
      <c r="AT42" t="s">
        <v>537</v>
      </c>
      <c r="AU42">
        <v>1999</v>
      </c>
      <c r="AV42">
        <v>31</v>
      </c>
      <c r="AW42">
        <v>4</v>
      </c>
      <c r="AX42" t="s">
        <v>74</v>
      </c>
      <c r="AY42" t="s">
        <v>74</v>
      </c>
      <c r="AZ42" t="s">
        <v>74</v>
      </c>
      <c r="BA42" t="s">
        <v>74</v>
      </c>
      <c r="BB42">
        <v>412</v>
      </c>
      <c r="BC42">
        <v>420</v>
      </c>
      <c r="BD42" t="s">
        <v>74</v>
      </c>
      <c r="BE42" t="s">
        <v>681</v>
      </c>
      <c r="BF42" t="str">
        <f>HYPERLINK("http://dx.doi.org/10.2307/1552590","http://dx.doi.org/10.2307/1552590")</f>
        <v>http://dx.doi.org/10.2307/1552590</v>
      </c>
      <c r="BG42" t="s">
        <v>74</v>
      </c>
      <c r="BH42" t="s">
        <v>74</v>
      </c>
      <c r="BI42">
        <v>9</v>
      </c>
      <c r="BJ42" t="s">
        <v>596</v>
      </c>
      <c r="BK42" t="s">
        <v>96</v>
      </c>
      <c r="BL42" t="s">
        <v>597</v>
      </c>
      <c r="BM42" t="s">
        <v>598</v>
      </c>
      <c r="BN42" t="s">
        <v>74</v>
      </c>
      <c r="BO42" t="s">
        <v>74</v>
      </c>
      <c r="BP42" t="s">
        <v>74</v>
      </c>
      <c r="BQ42" t="s">
        <v>74</v>
      </c>
      <c r="BR42" t="s">
        <v>99</v>
      </c>
      <c r="BS42" t="s">
        <v>682</v>
      </c>
      <c r="BT42" t="str">
        <f>HYPERLINK("https%3A%2F%2Fwww.webofscience.com%2Fwos%2Fwoscc%2Ffull-record%2FWOS:000084350100009","View Full Record in Web of Science")</f>
        <v>View Full Record in Web of Science</v>
      </c>
    </row>
    <row r="43" spans="1:72" x14ac:dyDescent="0.15">
      <c r="A43" t="s">
        <v>72</v>
      </c>
      <c r="B43" t="s">
        <v>683</v>
      </c>
      <c r="C43" t="s">
        <v>74</v>
      </c>
      <c r="D43" t="s">
        <v>74</v>
      </c>
      <c r="E43" t="s">
        <v>74</v>
      </c>
      <c r="F43" t="s">
        <v>683</v>
      </c>
      <c r="G43" t="s">
        <v>74</v>
      </c>
      <c r="H43" t="s">
        <v>74</v>
      </c>
      <c r="I43" t="s">
        <v>684</v>
      </c>
      <c r="J43" t="s">
        <v>579</v>
      </c>
      <c r="K43" t="s">
        <v>74</v>
      </c>
      <c r="L43" t="s">
        <v>74</v>
      </c>
      <c r="M43" t="s">
        <v>77</v>
      </c>
      <c r="N43" t="s">
        <v>78</v>
      </c>
      <c r="O43" t="s">
        <v>74</v>
      </c>
      <c r="P43" t="s">
        <v>74</v>
      </c>
      <c r="Q43" t="s">
        <v>74</v>
      </c>
      <c r="R43" t="s">
        <v>74</v>
      </c>
      <c r="S43" t="s">
        <v>74</v>
      </c>
      <c r="T43" t="s">
        <v>74</v>
      </c>
      <c r="U43" t="s">
        <v>74</v>
      </c>
      <c r="V43" t="s">
        <v>685</v>
      </c>
      <c r="W43" t="s">
        <v>686</v>
      </c>
      <c r="X43" t="s">
        <v>687</v>
      </c>
      <c r="Y43" t="s">
        <v>688</v>
      </c>
      <c r="Z43" t="s">
        <v>74</v>
      </c>
      <c r="AA43" t="s">
        <v>74</v>
      </c>
      <c r="AB43" t="s">
        <v>74</v>
      </c>
      <c r="AC43" t="s">
        <v>74</v>
      </c>
      <c r="AD43" t="s">
        <v>74</v>
      </c>
      <c r="AE43" t="s">
        <v>74</v>
      </c>
      <c r="AF43" t="s">
        <v>74</v>
      </c>
      <c r="AG43">
        <v>54</v>
      </c>
      <c r="AH43">
        <v>28</v>
      </c>
      <c r="AI43">
        <v>29</v>
      </c>
      <c r="AJ43">
        <v>0</v>
      </c>
      <c r="AK43">
        <v>5</v>
      </c>
      <c r="AL43" t="s">
        <v>588</v>
      </c>
      <c r="AM43" t="s">
        <v>589</v>
      </c>
      <c r="AN43" t="s">
        <v>590</v>
      </c>
      <c r="AO43" t="s">
        <v>591</v>
      </c>
      <c r="AP43" t="s">
        <v>74</v>
      </c>
      <c r="AQ43" t="s">
        <v>74</v>
      </c>
      <c r="AR43" t="s">
        <v>593</v>
      </c>
      <c r="AS43" t="s">
        <v>594</v>
      </c>
      <c r="AT43" t="s">
        <v>537</v>
      </c>
      <c r="AU43">
        <v>1999</v>
      </c>
      <c r="AV43">
        <v>31</v>
      </c>
      <c r="AW43">
        <v>4</v>
      </c>
      <c r="AX43" t="s">
        <v>74</v>
      </c>
      <c r="AY43" t="s">
        <v>74</v>
      </c>
      <c r="AZ43" t="s">
        <v>74</v>
      </c>
      <c r="BA43" t="s">
        <v>74</v>
      </c>
      <c r="BB43">
        <v>421</v>
      </c>
      <c r="BC43">
        <v>435</v>
      </c>
      <c r="BD43" t="s">
        <v>74</v>
      </c>
      <c r="BE43" t="s">
        <v>689</v>
      </c>
      <c r="BF43" t="str">
        <f>HYPERLINK("http://dx.doi.org/10.2307/1552591","http://dx.doi.org/10.2307/1552591")</f>
        <v>http://dx.doi.org/10.2307/1552591</v>
      </c>
      <c r="BG43" t="s">
        <v>74</v>
      </c>
      <c r="BH43" t="s">
        <v>74</v>
      </c>
      <c r="BI43">
        <v>15</v>
      </c>
      <c r="BJ43" t="s">
        <v>596</v>
      </c>
      <c r="BK43" t="s">
        <v>96</v>
      </c>
      <c r="BL43" t="s">
        <v>597</v>
      </c>
      <c r="BM43" t="s">
        <v>598</v>
      </c>
      <c r="BN43" t="s">
        <v>74</v>
      </c>
      <c r="BO43" t="s">
        <v>250</v>
      </c>
      <c r="BP43" t="s">
        <v>74</v>
      </c>
      <c r="BQ43" t="s">
        <v>74</v>
      </c>
      <c r="BR43" t="s">
        <v>99</v>
      </c>
      <c r="BS43" t="s">
        <v>690</v>
      </c>
      <c r="BT43" t="str">
        <f>HYPERLINK("https%3A%2F%2Fwww.webofscience.com%2Fwos%2Fwoscc%2Ffull-record%2FWOS:000084350100010","View Full Record in Web of Science")</f>
        <v>View Full Record in Web of Science</v>
      </c>
    </row>
    <row r="44" spans="1:72" x14ac:dyDescent="0.15">
      <c r="A44" t="s">
        <v>72</v>
      </c>
      <c r="B44" t="s">
        <v>691</v>
      </c>
      <c r="C44" t="s">
        <v>74</v>
      </c>
      <c r="D44" t="s">
        <v>74</v>
      </c>
      <c r="E44" t="s">
        <v>74</v>
      </c>
      <c r="F44" t="s">
        <v>691</v>
      </c>
      <c r="G44" t="s">
        <v>74</v>
      </c>
      <c r="H44" t="s">
        <v>74</v>
      </c>
      <c r="I44" t="s">
        <v>692</v>
      </c>
      <c r="J44" t="s">
        <v>579</v>
      </c>
      <c r="K44" t="s">
        <v>74</v>
      </c>
      <c r="L44" t="s">
        <v>74</v>
      </c>
      <c r="M44" t="s">
        <v>77</v>
      </c>
      <c r="N44" t="s">
        <v>78</v>
      </c>
      <c r="O44" t="s">
        <v>74</v>
      </c>
      <c r="P44" t="s">
        <v>74</v>
      </c>
      <c r="Q44" t="s">
        <v>74</v>
      </c>
      <c r="R44" t="s">
        <v>74</v>
      </c>
      <c r="S44" t="s">
        <v>74</v>
      </c>
      <c r="T44" t="s">
        <v>74</v>
      </c>
      <c r="U44" t="s">
        <v>693</v>
      </c>
      <c r="V44" t="s">
        <v>694</v>
      </c>
      <c r="W44" t="s">
        <v>695</v>
      </c>
      <c r="X44" t="s">
        <v>696</v>
      </c>
      <c r="Y44" t="s">
        <v>697</v>
      </c>
      <c r="Z44" t="s">
        <v>74</v>
      </c>
      <c r="AA44" t="s">
        <v>698</v>
      </c>
      <c r="AB44" t="s">
        <v>74</v>
      </c>
      <c r="AC44" t="s">
        <v>74</v>
      </c>
      <c r="AD44" t="s">
        <v>74</v>
      </c>
      <c r="AE44" t="s">
        <v>74</v>
      </c>
      <c r="AF44" t="s">
        <v>74</v>
      </c>
      <c r="AG44">
        <v>61</v>
      </c>
      <c r="AH44">
        <v>33</v>
      </c>
      <c r="AI44">
        <v>39</v>
      </c>
      <c r="AJ44">
        <v>1</v>
      </c>
      <c r="AK44">
        <v>25</v>
      </c>
      <c r="AL44" t="s">
        <v>588</v>
      </c>
      <c r="AM44" t="s">
        <v>589</v>
      </c>
      <c r="AN44" t="s">
        <v>590</v>
      </c>
      <c r="AO44" t="s">
        <v>591</v>
      </c>
      <c r="AP44" t="s">
        <v>74</v>
      </c>
      <c r="AQ44" t="s">
        <v>74</v>
      </c>
      <c r="AR44" t="s">
        <v>593</v>
      </c>
      <c r="AS44" t="s">
        <v>594</v>
      </c>
      <c r="AT44" t="s">
        <v>537</v>
      </c>
      <c r="AU44">
        <v>1999</v>
      </c>
      <c r="AV44">
        <v>31</v>
      </c>
      <c r="AW44">
        <v>4</v>
      </c>
      <c r="AX44" t="s">
        <v>74</v>
      </c>
      <c r="AY44" t="s">
        <v>74</v>
      </c>
      <c r="AZ44" t="s">
        <v>74</v>
      </c>
      <c r="BA44" t="s">
        <v>74</v>
      </c>
      <c r="BB44">
        <v>436</v>
      </c>
      <c r="BC44">
        <v>446</v>
      </c>
      <c r="BD44" t="s">
        <v>74</v>
      </c>
      <c r="BE44" t="s">
        <v>699</v>
      </c>
      <c r="BF44" t="str">
        <f>HYPERLINK("http://dx.doi.org/10.2307/1552592","http://dx.doi.org/10.2307/1552592")</f>
        <v>http://dx.doi.org/10.2307/1552592</v>
      </c>
      <c r="BG44" t="s">
        <v>74</v>
      </c>
      <c r="BH44" t="s">
        <v>74</v>
      </c>
      <c r="BI44">
        <v>11</v>
      </c>
      <c r="BJ44" t="s">
        <v>596</v>
      </c>
      <c r="BK44" t="s">
        <v>96</v>
      </c>
      <c r="BL44" t="s">
        <v>597</v>
      </c>
      <c r="BM44" t="s">
        <v>598</v>
      </c>
      <c r="BN44" t="s">
        <v>74</v>
      </c>
      <c r="BO44" t="s">
        <v>250</v>
      </c>
      <c r="BP44" t="s">
        <v>74</v>
      </c>
      <c r="BQ44" t="s">
        <v>74</v>
      </c>
      <c r="BR44" t="s">
        <v>99</v>
      </c>
      <c r="BS44" t="s">
        <v>700</v>
      </c>
      <c r="BT44" t="str">
        <f>HYPERLINK("https%3A%2F%2Fwww.webofscience.com%2Fwos%2Fwoscc%2Ffull-record%2FWOS:000084350100011","View Full Record in Web of Science")</f>
        <v>View Full Record in Web of Science</v>
      </c>
    </row>
    <row r="45" spans="1:72" x14ac:dyDescent="0.15">
      <c r="A45" t="s">
        <v>72</v>
      </c>
      <c r="B45" t="s">
        <v>701</v>
      </c>
      <c r="C45" t="s">
        <v>74</v>
      </c>
      <c r="D45" t="s">
        <v>74</v>
      </c>
      <c r="E45" t="s">
        <v>74</v>
      </c>
      <c r="F45" t="s">
        <v>701</v>
      </c>
      <c r="G45" t="s">
        <v>74</v>
      </c>
      <c r="H45" t="s">
        <v>74</v>
      </c>
      <c r="I45" t="s">
        <v>702</v>
      </c>
      <c r="J45" t="s">
        <v>703</v>
      </c>
      <c r="K45" t="s">
        <v>74</v>
      </c>
      <c r="L45" t="s">
        <v>74</v>
      </c>
      <c r="M45" t="s">
        <v>77</v>
      </c>
      <c r="N45" t="s">
        <v>704</v>
      </c>
      <c r="O45" t="s">
        <v>74</v>
      </c>
      <c r="P45" t="s">
        <v>74</v>
      </c>
      <c r="Q45" t="s">
        <v>74</v>
      </c>
      <c r="R45" t="s">
        <v>74</v>
      </c>
      <c r="S45" t="s">
        <v>74</v>
      </c>
      <c r="T45" t="s">
        <v>74</v>
      </c>
      <c r="U45" t="s">
        <v>74</v>
      </c>
      <c r="V45" t="s">
        <v>74</v>
      </c>
      <c r="W45" t="s">
        <v>74</v>
      </c>
      <c r="X45" t="s">
        <v>74</v>
      </c>
      <c r="Y45" t="s">
        <v>74</v>
      </c>
      <c r="Z45" t="s">
        <v>74</v>
      </c>
      <c r="AA45" t="s">
        <v>74</v>
      </c>
      <c r="AB45" t="s">
        <v>74</v>
      </c>
      <c r="AC45" t="s">
        <v>74</v>
      </c>
      <c r="AD45" t="s">
        <v>74</v>
      </c>
      <c r="AE45" t="s">
        <v>74</v>
      </c>
      <c r="AF45" t="s">
        <v>74</v>
      </c>
      <c r="AG45">
        <v>0</v>
      </c>
      <c r="AH45">
        <v>0</v>
      </c>
      <c r="AI45">
        <v>0</v>
      </c>
      <c r="AJ45">
        <v>0</v>
      </c>
      <c r="AK45">
        <v>0</v>
      </c>
      <c r="AL45" t="s">
        <v>705</v>
      </c>
      <c r="AM45" t="s">
        <v>554</v>
      </c>
      <c r="AN45" t="s">
        <v>706</v>
      </c>
      <c r="AO45" t="s">
        <v>707</v>
      </c>
      <c r="AP45" t="s">
        <v>74</v>
      </c>
      <c r="AQ45" t="s">
        <v>74</v>
      </c>
      <c r="AR45" t="s">
        <v>708</v>
      </c>
      <c r="AS45" t="s">
        <v>709</v>
      </c>
      <c r="AT45" t="s">
        <v>537</v>
      </c>
      <c r="AU45">
        <v>1999</v>
      </c>
      <c r="AV45">
        <v>46</v>
      </c>
      <c r="AW45">
        <v>11</v>
      </c>
      <c r="AX45" t="s">
        <v>74</v>
      </c>
      <c r="AY45" t="s">
        <v>74</v>
      </c>
      <c r="AZ45" t="s">
        <v>74</v>
      </c>
      <c r="BA45" t="s">
        <v>74</v>
      </c>
      <c r="BB45">
        <v>1093</v>
      </c>
      <c r="BC45">
        <v>1093</v>
      </c>
      <c r="BD45" t="s">
        <v>74</v>
      </c>
      <c r="BE45" t="s">
        <v>74</v>
      </c>
      <c r="BF45" t="s">
        <v>74</v>
      </c>
      <c r="BG45" t="s">
        <v>74</v>
      </c>
      <c r="BH45" t="s">
        <v>74</v>
      </c>
      <c r="BI45">
        <v>1</v>
      </c>
      <c r="BJ45" t="s">
        <v>710</v>
      </c>
      <c r="BK45" t="s">
        <v>96</v>
      </c>
      <c r="BL45" t="s">
        <v>710</v>
      </c>
      <c r="BM45" t="s">
        <v>711</v>
      </c>
      <c r="BN45" t="s">
        <v>74</v>
      </c>
      <c r="BO45" t="s">
        <v>74</v>
      </c>
      <c r="BP45" t="s">
        <v>74</v>
      </c>
      <c r="BQ45" t="s">
        <v>74</v>
      </c>
      <c r="BR45" t="s">
        <v>99</v>
      </c>
      <c r="BS45" t="s">
        <v>712</v>
      </c>
      <c r="BT45" t="str">
        <f>HYPERLINK("https%3A%2F%2Fwww.webofscience.com%2Fwos%2Fwoscc%2Ffull-record%2FWOS:000083546600022","View Full Record in Web of Science")</f>
        <v>View Full Record in Web of Science</v>
      </c>
    </row>
    <row r="46" spans="1:72" x14ac:dyDescent="0.15">
      <c r="A46" t="s">
        <v>72</v>
      </c>
      <c r="B46" t="s">
        <v>713</v>
      </c>
      <c r="C46" t="s">
        <v>74</v>
      </c>
      <c r="D46" t="s">
        <v>74</v>
      </c>
      <c r="E46" t="s">
        <v>74</v>
      </c>
      <c r="F46" t="s">
        <v>713</v>
      </c>
      <c r="G46" t="s">
        <v>74</v>
      </c>
      <c r="H46" t="s">
        <v>74</v>
      </c>
      <c r="I46" t="s">
        <v>714</v>
      </c>
      <c r="J46" t="s">
        <v>715</v>
      </c>
      <c r="K46" t="s">
        <v>74</v>
      </c>
      <c r="L46" t="s">
        <v>74</v>
      </c>
      <c r="M46" t="s">
        <v>77</v>
      </c>
      <c r="N46" t="s">
        <v>78</v>
      </c>
      <c r="O46" t="s">
        <v>74</v>
      </c>
      <c r="P46" t="s">
        <v>74</v>
      </c>
      <c r="Q46" t="s">
        <v>74</v>
      </c>
      <c r="R46" t="s">
        <v>74</v>
      </c>
      <c r="S46" t="s">
        <v>74</v>
      </c>
      <c r="T46" t="s">
        <v>74</v>
      </c>
      <c r="U46" t="s">
        <v>716</v>
      </c>
      <c r="V46" t="s">
        <v>717</v>
      </c>
      <c r="W46" t="s">
        <v>718</v>
      </c>
      <c r="X46" t="s">
        <v>719</v>
      </c>
      <c r="Y46" t="s">
        <v>720</v>
      </c>
      <c r="Z46" t="s">
        <v>74</v>
      </c>
      <c r="AA46" t="s">
        <v>74</v>
      </c>
      <c r="AB46" t="s">
        <v>74</v>
      </c>
      <c r="AC46" t="s">
        <v>74</v>
      </c>
      <c r="AD46" t="s">
        <v>74</v>
      </c>
      <c r="AE46" t="s">
        <v>74</v>
      </c>
      <c r="AF46" t="s">
        <v>74</v>
      </c>
      <c r="AG46">
        <v>44</v>
      </c>
      <c r="AH46">
        <v>20</v>
      </c>
      <c r="AI46">
        <v>24</v>
      </c>
      <c r="AJ46">
        <v>0</v>
      </c>
      <c r="AK46">
        <v>13</v>
      </c>
      <c r="AL46" t="s">
        <v>721</v>
      </c>
      <c r="AM46" t="s">
        <v>722</v>
      </c>
      <c r="AN46" t="s">
        <v>723</v>
      </c>
      <c r="AO46" t="s">
        <v>724</v>
      </c>
      <c r="AP46" t="s">
        <v>74</v>
      </c>
      <c r="AQ46" t="s">
        <v>74</v>
      </c>
      <c r="AR46" t="s">
        <v>725</v>
      </c>
      <c r="AS46" t="s">
        <v>726</v>
      </c>
      <c r="AT46" t="s">
        <v>537</v>
      </c>
      <c r="AU46">
        <v>1999</v>
      </c>
      <c r="AV46">
        <v>56</v>
      </c>
      <c r="AW46">
        <v>11</v>
      </c>
      <c r="AX46" t="s">
        <v>74</v>
      </c>
      <c r="AY46" t="s">
        <v>74</v>
      </c>
      <c r="AZ46" t="s">
        <v>74</v>
      </c>
      <c r="BA46" t="s">
        <v>74</v>
      </c>
      <c r="BB46">
        <v>1991</v>
      </c>
      <c r="BC46">
        <v>1999</v>
      </c>
      <c r="BD46" t="s">
        <v>74</v>
      </c>
      <c r="BE46" t="s">
        <v>727</v>
      </c>
      <c r="BF46" t="str">
        <f>HYPERLINK("http://dx.doi.org/10.1139/cjfas-56-11-1991","http://dx.doi.org/10.1139/cjfas-56-11-1991")</f>
        <v>http://dx.doi.org/10.1139/cjfas-56-11-1991</v>
      </c>
      <c r="BG46" t="s">
        <v>74</v>
      </c>
      <c r="BH46" t="s">
        <v>74</v>
      </c>
      <c r="BI46">
        <v>9</v>
      </c>
      <c r="BJ46" t="s">
        <v>728</v>
      </c>
      <c r="BK46" t="s">
        <v>96</v>
      </c>
      <c r="BL46" t="s">
        <v>728</v>
      </c>
      <c r="BM46" t="s">
        <v>729</v>
      </c>
      <c r="BN46" t="s">
        <v>74</v>
      </c>
      <c r="BO46" t="s">
        <v>74</v>
      </c>
      <c r="BP46" t="s">
        <v>74</v>
      </c>
      <c r="BQ46" t="s">
        <v>74</v>
      </c>
      <c r="BR46" t="s">
        <v>99</v>
      </c>
      <c r="BS46" t="s">
        <v>730</v>
      </c>
      <c r="BT46" t="str">
        <f>HYPERLINK("https%3A%2F%2Fwww.webofscience.com%2Fwos%2Fwoscc%2Ffull-record%2FWOS:000083547400002","View Full Record in Web of Science")</f>
        <v>View Full Record in Web of Science</v>
      </c>
    </row>
    <row r="47" spans="1:72" x14ac:dyDescent="0.15">
      <c r="A47" t="s">
        <v>72</v>
      </c>
      <c r="B47" t="s">
        <v>731</v>
      </c>
      <c r="C47" t="s">
        <v>74</v>
      </c>
      <c r="D47" t="s">
        <v>74</v>
      </c>
      <c r="E47" t="s">
        <v>74</v>
      </c>
      <c r="F47" t="s">
        <v>731</v>
      </c>
      <c r="G47" t="s">
        <v>74</v>
      </c>
      <c r="H47" t="s">
        <v>74</v>
      </c>
      <c r="I47" t="s">
        <v>732</v>
      </c>
      <c r="J47" t="s">
        <v>733</v>
      </c>
      <c r="K47" t="s">
        <v>74</v>
      </c>
      <c r="L47" t="s">
        <v>74</v>
      </c>
      <c r="M47" t="s">
        <v>77</v>
      </c>
      <c r="N47" t="s">
        <v>78</v>
      </c>
      <c r="O47" t="s">
        <v>74</v>
      </c>
      <c r="P47" t="s">
        <v>74</v>
      </c>
      <c r="Q47" t="s">
        <v>74</v>
      </c>
      <c r="R47" t="s">
        <v>74</v>
      </c>
      <c r="S47" t="s">
        <v>74</v>
      </c>
      <c r="T47" t="s">
        <v>74</v>
      </c>
      <c r="U47" t="s">
        <v>734</v>
      </c>
      <c r="V47" t="s">
        <v>735</v>
      </c>
      <c r="W47" t="s">
        <v>736</v>
      </c>
      <c r="X47" t="s">
        <v>737</v>
      </c>
      <c r="Y47" t="s">
        <v>738</v>
      </c>
      <c r="Z47" t="s">
        <v>74</v>
      </c>
      <c r="AA47" t="s">
        <v>739</v>
      </c>
      <c r="AB47" t="s">
        <v>740</v>
      </c>
      <c r="AC47" t="s">
        <v>74</v>
      </c>
      <c r="AD47" t="s">
        <v>74</v>
      </c>
      <c r="AE47" t="s">
        <v>74</v>
      </c>
      <c r="AF47" t="s">
        <v>74</v>
      </c>
      <c r="AG47">
        <v>58</v>
      </c>
      <c r="AH47">
        <v>76</v>
      </c>
      <c r="AI47">
        <v>82</v>
      </c>
      <c r="AJ47">
        <v>2</v>
      </c>
      <c r="AK47">
        <v>30</v>
      </c>
      <c r="AL47" t="s">
        <v>721</v>
      </c>
      <c r="AM47" t="s">
        <v>722</v>
      </c>
      <c r="AN47" t="s">
        <v>723</v>
      </c>
      <c r="AO47" t="s">
        <v>741</v>
      </c>
      <c r="AP47" t="s">
        <v>74</v>
      </c>
      <c r="AQ47" t="s">
        <v>74</v>
      </c>
      <c r="AR47" t="s">
        <v>742</v>
      </c>
      <c r="AS47" t="s">
        <v>743</v>
      </c>
      <c r="AT47" t="s">
        <v>537</v>
      </c>
      <c r="AU47">
        <v>1999</v>
      </c>
      <c r="AV47">
        <v>77</v>
      </c>
      <c r="AW47">
        <v>11</v>
      </c>
      <c r="AX47" t="s">
        <v>74</v>
      </c>
      <c r="AY47" t="s">
        <v>74</v>
      </c>
      <c r="AZ47" t="s">
        <v>74</v>
      </c>
      <c r="BA47" t="s">
        <v>74</v>
      </c>
      <c r="BB47">
        <v>1807</v>
      </c>
      <c r="BC47">
        <v>1821</v>
      </c>
      <c r="BD47" t="s">
        <v>74</v>
      </c>
      <c r="BE47" t="s">
        <v>744</v>
      </c>
      <c r="BF47" t="str">
        <f>HYPERLINK("http://dx.doi.org/10.1139/cjz-77-11-1807","http://dx.doi.org/10.1139/cjz-77-11-1807")</f>
        <v>http://dx.doi.org/10.1139/cjz-77-11-1807</v>
      </c>
      <c r="BG47" t="s">
        <v>74</v>
      </c>
      <c r="BH47" t="s">
        <v>74</v>
      </c>
      <c r="BI47">
        <v>15</v>
      </c>
      <c r="BJ47" t="s">
        <v>142</v>
      </c>
      <c r="BK47" t="s">
        <v>96</v>
      </c>
      <c r="BL47" t="s">
        <v>142</v>
      </c>
      <c r="BM47" t="s">
        <v>745</v>
      </c>
      <c r="BN47" t="s">
        <v>74</v>
      </c>
      <c r="BO47" t="s">
        <v>74</v>
      </c>
      <c r="BP47" t="s">
        <v>74</v>
      </c>
      <c r="BQ47" t="s">
        <v>74</v>
      </c>
      <c r="BR47" t="s">
        <v>99</v>
      </c>
      <c r="BS47" t="s">
        <v>746</v>
      </c>
      <c r="BT47" t="str">
        <f>HYPERLINK("https%3A%2F%2Fwww.webofscience.com%2Fwos%2Fwoscc%2Ffull-record%2FWOS:000084873200016","View Full Record in Web of Science")</f>
        <v>View Full Record in Web of Science</v>
      </c>
    </row>
    <row r="48" spans="1:72" x14ac:dyDescent="0.15">
      <c r="A48" t="s">
        <v>72</v>
      </c>
      <c r="B48" t="s">
        <v>747</v>
      </c>
      <c r="C48" t="s">
        <v>74</v>
      </c>
      <c r="D48" t="s">
        <v>74</v>
      </c>
      <c r="E48" t="s">
        <v>74</v>
      </c>
      <c r="F48" t="s">
        <v>747</v>
      </c>
      <c r="G48" t="s">
        <v>74</v>
      </c>
      <c r="H48" t="s">
        <v>74</v>
      </c>
      <c r="I48" t="s">
        <v>748</v>
      </c>
      <c r="J48" t="s">
        <v>749</v>
      </c>
      <c r="K48" t="s">
        <v>74</v>
      </c>
      <c r="L48" t="s">
        <v>74</v>
      </c>
      <c r="M48" t="s">
        <v>77</v>
      </c>
      <c r="N48" t="s">
        <v>78</v>
      </c>
      <c r="O48" t="s">
        <v>74</v>
      </c>
      <c r="P48" t="s">
        <v>74</v>
      </c>
      <c r="Q48" t="s">
        <v>74</v>
      </c>
      <c r="R48" t="s">
        <v>74</v>
      </c>
      <c r="S48" t="s">
        <v>74</v>
      </c>
      <c r="T48" t="s">
        <v>74</v>
      </c>
      <c r="U48" t="s">
        <v>750</v>
      </c>
      <c r="V48" t="s">
        <v>751</v>
      </c>
      <c r="W48" t="s">
        <v>752</v>
      </c>
      <c r="X48" t="s">
        <v>753</v>
      </c>
      <c r="Y48" t="s">
        <v>754</v>
      </c>
      <c r="Z48" t="s">
        <v>74</v>
      </c>
      <c r="AA48" t="s">
        <v>755</v>
      </c>
      <c r="AB48" t="s">
        <v>756</v>
      </c>
      <c r="AC48" t="s">
        <v>74</v>
      </c>
      <c r="AD48" t="s">
        <v>74</v>
      </c>
      <c r="AE48" t="s">
        <v>74</v>
      </c>
      <c r="AF48" t="s">
        <v>74</v>
      </c>
      <c r="AG48">
        <v>10</v>
      </c>
      <c r="AH48">
        <v>17</v>
      </c>
      <c r="AI48">
        <v>18</v>
      </c>
      <c r="AJ48">
        <v>0</v>
      </c>
      <c r="AK48">
        <v>6</v>
      </c>
      <c r="AL48" t="s">
        <v>275</v>
      </c>
      <c r="AM48" t="s">
        <v>276</v>
      </c>
      <c r="AN48" t="s">
        <v>277</v>
      </c>
      <c r="AO48" t="s">
        <v>757</v>
      </c>
      <c r="AP48" t="s">
        <v>74</v>
      </c>
      <c r="AQ48" t="s">
        <v>74</v>
      </c>
      <c r="AR48" t="s">
        <v>749</v>
      </c>
      <c r="AS48" t="s">
        <v>758</v>
      </c>
      <c r="AT48" t="s">
        <v>537</v>
      </c>
      <c r="AU48">
        <v>1999</v>
      </c>
      <c r="AV48">
        <v>39</v>
      </c>
      <c r="AW48">
        <v>12</v>
      </c>
      <c r="AX48" t="s">
        <v>74</v>
      </c>
      <c r="AY48" t="s">
        <v>74</v>
      </c>
      <c r="AZ48" t="s">
        <v>74</v>
      </c>
      <c r="BA48" t="s">
        <v>74</v>
      </c>
      <c r="BB48">
        <v>2073</v>
      </c>
      <c r="BC48">
        <v>2078</v>
      </c>
      <c r="BD48" t="s">
        <v>74</v>
      </c>
      <c r="BE48" t="s">
        <v>759</v>
      </c>
      <c r="BF48" t="str">
        <f>HYPERLINK("http://dx.doi.org/10.1016/S0045-6535(99)00137-X","http://dx.doi.org/10.1016/S0045-6535(99)00137-X")</f>
        <v>http://dx.doi.org/10.1016/S0045-6535(99)00137-X</v>
      </c>
      <c r="BG48" t="s">
        <v>74</v>
      </c>
      <c r="BH48" t="s">
        <v>74</v>
      </c>
      <c r="BI48">
        <v>6</v>
      </c>
      <c r="BJ48" t="s">
        <v>760</v>
      </c>
      <c r="BK48" t="s">
        <v>96</v>
      </c>
      <c r="BL48" t="s">
        <v>761</v>
      </c>
      <c r="BM48" t="s">
        <v>762</v>
      </c>
      <c r="BN48">
        <v>10576107</v>
      </c>
      <c r="BO48" t="s">
        <v>74</v>
      </c>
      <c r="BP48" t="s">
        <v>74</v>
      </c>
      <c r="BQ48" t="s">
        <v>74</v>
      </c>
      <c r="BR48" t="s">
        <v>99</v>
      </c>
      <c r="BS48" t="s">
        <v>763</v>
      </c>
      <c r="BT48" t="str">
        <f>HYPERLINK("https%3A%2F%2Fwww.webofscience.com%2Fwos%2Fwoscc%2Ffull-record%2FWOS:000082900100008","View Full Record in Web of Science")</f>
        <v>View Full Record in Web of Science</v>
      </c>
    </row>
    <row r="49" spans="1:72" x14ac:dyDescent="0.15">
      <c r="A49" t="s">
        <v>72</v>
      </c>
      <c r="B49" t="s">
        <v>764</v>
      </c>
      <c r="C49" t="s">
        <v>74</v>
      </c>
      <c r="D49" t="s">
        <v>74</v>
      </c>
      <c r="E49" t="s">
        <v>74</v>
      </c>
      <c r="F49" t="s">
        <v>764</v>
      </c>
      <c r="G49" t="s">
        <v>74</v>
      </c>
      <c r="H49" t="s">
        <v>74</v>
      </c>
      <c r="I49" t="s">
        <v>765</v>
      </c>
      <c r="J49" t="s">
        <v>766</v>
      </c>
      <c r="K49" t="s">
        <v>74</v>
      </c>
      <c r="L49" t="s">
        <v>74</v>
      </c>
      <c r="M49" t="s">
        <v>767</v>
      </c>
      <c r="N49" t="s">
        <v>254</v>
      </c>
      <c r="O49" t="s">
        <v>74</v>
      </c>
      <c r="P49" t="s">
        <v>74</v>
      </c>
      <c r="Q49" t="s">
        <v>74</v>
      </c>
      <c r="R49" t="s">
        <v>74</v>
      </c>
      <c r="S49" t="s">
        <v>74</v>
      </c>
      <c r="T49" t="s">
        <v>768</v>
      </c>
      <c r="U49" t="s">
        <v>74</v>
      </c>
      <c r="V49" t="s">
        <v>769</v>
      </c>
      <c r="W49" t="s">
        <v>770</v>
      </c>
      <c r="X49" t="s">
        <v>771</v>
      </c>
      <c r="Y49" t="s">
        <v>772</v>
      </c>
      <c r="Z49" t="s">
        <v>74</v>
      </c>
      <c r="AA49" t="s">
        <v>773</v>
      </c>
      <c r="AB49" t="s">
        <v>74</v>
      </c>
      <c r="AC49" t="s">
        <v>74</v>
      </c>
      <c r="AD49" t="s">
        <v>74</v>
      </c>
      <c r="AE49" t="s">
        <v>74</v>
      </c>
      <c r="AF49" t="s">
        <v>74</v>
      </c>
      <c r="AG49">
        <v>9</v>
      </c>
      <c r="AH49">
        <v>0</v>
      </c>
      <c r="AI49">
        <v>0</v>
      </c>
      <c r="AJ49">
        <v>1</v>
      </c>
      <c r="AK49">
        <v>25</v>
      </c>
      <c r="AL49" t="s">
        <v>774</v>
      </c>
      <c r="AM49" t="s">
        <v>775</v>
      </c>
      <c r="AN49" t="s">
        <v>776</v>
      </c>
      <c r="AO49" t="s">
        <v>777</v>
      </c>
      <c r="AP49" t="s">
        <v>74</v>
      </c>
      <c r="AQ49" t="s">
        <v>74</v>
      </c>
      <c r="AR49" t="s">
        <v>778</v>
      </c>
      <c r="AS49" t="s">
        <v>779</v>
      </c>
      <c r="AT49" t="s">
        <v>537</v>
      </c>
      <c r="AU49">
        <v>1999</v>
      </c>
      <c r="AV49">
        <v>42</v>
      </c>
      <c r="AW49">
        <v>6</v>
      </c>
      <c r="AX49" t="s">
        <v>74</v>
      </c>
      <c r="AY49" t="s">
        <v>74</v>
      </c>
      <c r="AZ49" t="s">
        <v>74</v>
      </c>
      <c r="BA49" t="s">
        <v>74</v>
      </c>
      <c r="BB49">
        <v>858</v>
      </c>
      <c r="BC49">
        <v>862</v>
      </c>
      <c r="BD49" t="s">
        <v>74</v>
      </c>
      <c r="BE49" t="s">
        <v>74</v>
      </c>
      <c r="BF49" t="s">
        <v>74</v>
      </c>
      <c r="BG49" t="s">
        <v>74</v>
      </c>
      <c r="BH49" t="s">
        <v>74</v>
      </c>
      <c r="BI49">
        <v>5</v>
      </c>
      <c r="BJ49" t="s">
        <v>216</v>
      </c>
      <c r="BK49" t="s">
        <v>96</v>
      </c>
      <c r="BL49" t="s">
        <v>216</v>
      </c>
      <c r="BM49" t="s">
        <v>780</v>
      </c>
      <c r="BN49" t="s">
        <v>74</v>
      </c>
      <c r="BO49" t="s">
        <v>74</v>
      </c>
      <c r="BP49" t="s">
        <v>74</v>
      </c>
      <c r="BQ49" t="s">
        <v>74</v>
      </c>
      <c r="BR49" t="s">
        <v>99</v>
      </c>
      <c r="BS49" t="s">
        <v>781</v>
      </c>
      <c r="BT49" t="str">
        <f>HYPERLINK("https%3A%2F%2Fwww.webofscience.com%2Fwos%2Fwoscc%2Ffull-record%2FWOS:000084411600017","View Full Record in Web of Science")</f>
        <v>View Full Record in Web of Science</v>
      </c>
    </row>
    <row r="50" spans="1:72" x14ac:dyDescent="0.15">
      <c r="A50" t="s">
        <v>72</v>
      </c>
      <c r="B50" t="s">
        <v>782</v>
      </c>
      <c r="C50" t="s">
        <v>74</v>
      </c>
      <c r="D50" t="s">
        <v>74</v>
      </c>
      <c r="E50" t="s">
        <v>74</v>
      </c>
      <c r="F50" t="s">
        <v>782</v>
      </c>
      <c r="G50" t="s">
        <v>74</v>
      </c>
      <c r="H50" t="s">
        <v>74</v>
      </c>
      <c r="I50" t="s">
        <v>783</v>
      </c>
      <c r="J50" t="s">
        <v>766</v>
      </c>
      <c r="K50" t="s">
        <v>74</v>
      </c>
      <c r="L50" t="s">
        <v>74</v>
      </c>
      <c r="M50" t="s">
        <v>767</v>
      </c>
      <c r="N50" t="s">
        <v>78</v>
      </c>
      <c r="O50" t="s">
        <v>74</v>
      </c>
      <c r="P50" t="s">
        <v>74</v>
      </c>
      <c r="Q50" t="s">
        <v>74</v>
      </c>
      <c r="R50" t="s">
        <v>74</v>
      </c>
      <c r="S50" t="s">
        <v>74</v>
      </c>
      <c r="T50" t="s">
        <v>784</v>
      </c>
      <c r="U50" t="s">
        <v>74</v>
      </c>
      <c r="V50" t="s">
        <v>785</v>
      </c>
      <c r="W50" t="s">
        <v>786</v>
      </c>
      <c r="X50" t="s">
        <v>787</v>
      </c>
      <c r="Y50" t="s">
        <v>788</v>
      </c>
      <c r="Z50" t="s">
        <v>74</v>
      </c>
      <c r="AA50" t="s">
        <v>789</v>
      </c>
      <c r="AB50" t="s">
        <v>74</v>
      </c>
      <c r="AC50" t="s">
        <v>74</v>
      </c>
      <c r="AD50" t="s">
        <v>74</v>
      </c>
      <c r="AE50" t="s">
        <v>74</v>
      </c>
      <c r="AF50" t="s">
        <v>74</v>
      </c>
      <c r="AG50">
        <v>6</v>
      </c>
      <c r="AH50">
        <v>0</v>
      </c>
      <c r="AI50">
        <v>0</v>
      </c>
      <c r="AJ50">
        <v>0</v>
      </c>
      <c r="AK50">
        <v>0</v>
      </c>
      <c r="AL50" t="s">
        <v>774</v>
      </c>
      <c r="AM50" t="s">
        <v>775</v>
      </c>
      <c r="AN50" t="s">
        <v>776</v>
      </c>
      <c r="AO50" t="s">
        <v>777</v>
      </c>
      <c r="AP50" t="s">
        <v>74</v>
      </c>
      <c r="AQ50" t="s">
        <v>74</v>
      </c>
      <c r="AR50" t="s">
        <v>778</v>
      </c>
      <c r="AS50" t="s">
        <v>779</v>
      </c>
      <c r="AT50" t="s">
        <v>537</v>
      </c>
      <c r="AU50">
        <v>1999</v>
      </c>
      <c r="AV50">
        <v>42</v>
      </c>
      <c r="AW50">
        <v>6</v>
      </c>
      <c r="AX50" t="s">
        <v>74</v>
      </c>
      <c r="AY50" t="s">
        <v>74</v>
      </c>
      <c r="AZ50" t="s">
        <v>74</v>
      </c>
      <c r="BA50" t="s">
        <v>74</v>
      </c>
      <c r="BB50">
        <v>863</v>
      </c>
      <c r="BC50">
        <v>867</v>
      </c>
      <c r="BD50" t="s">
        <v>74</v>
      </c>
      <c r="BE50" t="s">
        <v>74</v>
      </c>
      <c r="BF50" t="s">
        <v>74</v>
      </c>
      <c r="BG50" t="s">
        <v>74</v>
      </c>
      <c r="BH50" t="s">
        <v>74</v>
      </c>
      <c r="BI50">
        <v>5</v>
      </c>
      <c r="BJ50" t="s">
        <v>216</v>
      </c>
      <c r="BK50" t="s">
        <v>96</v>
      </c>
      <c r="BL50" t="s">
        <v>216</v>
      </c>
      <c r="BM50" t="s">
        <v>780</v>
      </c>
      <c r="BN50" t="s">
        <v>74</v>
      </c>
      <c r="BO50" t="s">
        <v>74</v>
      </c>
      <c r="BP50" t="s">
        <v>74</v>
      </c>
      <c r="BQ50" t="s">
        <v>74</v>
      </c>
      <c r="BR50" t="s">
        <v>99</v>
      </c>
      <c r="BS50" t="s">
        <v>790</v>
      </c>
      <c r="BT50" t="str">
        <f>HYPERLINK("https%3A%2F%2Fwww.webofscience.com%2Fwos%2Fwoscc%2Ffull-record%2FWOS:000084411600018","View Full Record in Web of Science")</f>
        <v>View Full Record in Web of Science</v>
      </c>
    </row>
    <row r="51" spans="1:72" x14ac:dyDescent="0.15">
      <c r="A51" t="s">
        <v>72</v>
      </c>
      <c r="B51" t="s">
        <v>791</v>
      </c>
      <c r="C51" t="s">
        <v>74</v>
      </c>
      <c r="D51" t="s">
        <v>74</v>
      </c>
      <c r="E51" t="s">
        <v>74</v>
      </c>
      <c r="F51" t="s">
        <v>791</v>
      </c>
      <c r="G51" t="s">
        <v>74</v>
      </c>
      <c r="H51" t="s">
        <v>74</v>
      </c>
      <c r="I51" t="s">
        <v>792</v>
      </c>
      <c r="J51" t="s">
        <v>793</v>
      </c>
      <c r="K51" t="s">
        <v>74</v>
      </c>
      <c r="L51" t="s">
        <v>74</v>
      </c>
      <c r="M51" t="s">
        <v>77</v>
      </c>
      <c r="N51" t="s">
        <v>78</v>
      </c>
      <c r="O51" t="s">
        <v>74</v>
      </c>
      <c r="P51" t="s">
        <v>74</v>
      </c>
      <c r="Q51" t="s">
        <v>74</v>
      </c>
      <c r="R51" t="s">
        <v>74</v>
      </c>
      <c r="S51" t="s">
        <v>74</v>
      </c>
      <c r="T51" t="s">
        <v>794</v>
      </c>
      <c r="U51" t="s">
        <v>795</v>
      </c>
      <c r="V51" t="s">
        <v>796</v>
      </c>
      <c r="W51" t="s">
        <v>797</v>
      </c>
      <c r="X51" t="s">
        <v>798</v>
      </c>
      <c r="Y51" t="s">
        <v>799</v>
      </c>
      <c r="Z51" t="s">
        <v>74</v>
      </c>
      <c r="AA51" t="s">
        <v>800</v>
      </c>
      <c r="AB51" t="s">
        <v>801</v>
      </c>
      <c r="AC51" t="s">
        <v>74</v>
      </c>
      <c r="AD51" t="s">
        <v>74</v>
      </c>
      <c r="AE51" t="s">
        <v>74</v>
      </c>
      <c r="AF51" t="s">
        <v>74</v>
      </c>
      <c r="AG51">
        <v>23</v>
      </c>
      <c r="AH51">
        <v>17</v>
      </c>
      <c r="AI51">
        <v>19</v>
      </c>
      <c r="AJ51">
        <v>0</v>
      </c>
      <c r="AK51">
        <v>3</v>
      </c>
      <c r="AL51" t="s">
        <v>275</v>
      </c>
      <c r="AM51" t="s">
        <v>276</v>
      </c>
      <c r="AN51" t="s">
        <v>277</v>
      </c>
      <c r="AO51" t="s">
        <v>802</v>
      </c>
      <c r="AP51" t="s">
        <v>74</v>
      </c>
      <c r="AQ51" t="s">
        <v>74</v>
      </c>
      <c r="AR51" t="s">
        <v>803</v>
      </c>
      <c r="AS51" t="s">
        <v>804</v>
      </c>
      <c r="AT51" t="s">
        <v>537</v>
      </c>
      <c r="AU51">
        <v>1999</v>
      </c>
      <c r="AV51">
        <v>124</v>
      </c>
      <c r="AW51">
        <v>3</v>
      </c>
      <c r="AX51" t="s">
        <v>74</v>
      </c>
      <c r="AY51" t="s">
        <v>74</v>
      </c>
      <c r="AZ51" t="s">
        <v>74</v>
      </c>
      <c r="BA51" t="s">
        <v>74</v>
      </c>
      <c r="BB51">
        <v>295</v>
      </c>
      <c r="BC51">
        <v>307</v>
      </c>
      <c r="BD51" t="s">
        <v>74</v>
      </c>
      <c r="BE51" t="s">
        <v>805</v>
      </c>
      <c r="BF51" t="str">
        <f>HYPERLINK("http://dx.doi.org/10.1016/S0305-0491(99)00120-0","http://dx.doi.org/10.1016/S0305-0491(99)00120-0")</f>
        <v>http://dx.doi.org/10.1016/S0305-0491(99)00120-0</v>
      </c>
      <c r="BG51" t="s">
        <v>74</v>
      </c>
      <c r="BH51" t="s">
        <v>74</v>
      </c>
      <c r="BI51">
        <v>13</v>
      </c>
      <c r="BJ51" t="s">
        <v>806</v>
      </c>
      <c r="BK51" t="s">
        <v>96</v>
      </c>
      <c r="BL51" t="s">
        <v>806</v>
      </c>
      <c r="BM51" t="s">
        <v>807</v>
      </c>
      <c r="BN51" t="s">
        <v>74</v>
      </c>
      <c r="BO51" t="s">
        <v>74</v>
      </c>
      <c r="BP51" t="s">
        <v>74</v>
      </c>
      <c r="BQ51" t="s">
        <v>74</v>
      </c>
      <c r="BR51" t="s">
        <v>99</v>
      </c>
      <c r="BS51" t="s">
        <v>808</v>
      </c>
      <c r="BT51" t="str">
        <f>HYPERLINK("https%3A%2F%2Fwww.webofscience.com%2Fwos%2Fwoscc%2Ffull-record%2FWOS:000083624900009","View Full Record in Web of Science")</f>
        <v>View Full Record in Web of Science</v>
      </c>
    </row>
    <row r="52" spans="1:72" x14ac:dyDescent="0.15">
      <c r="A52" t="s">
        <v>72</v>
      </c>
      <c r="B52" t="s">
        <v>809</v>
      </c>
      <c r="C52" t="s">
        <v>74</v>
      </c>
      <c r="D52" t="s">
        <v>74</v>
      </c>
      <c r="E52" t="s">
        <v>74</v>
      </c>
      <c r="F52" t="s">
        <v>809</v>
      </c>
      <c r="G52" t="s">
        <v>74</v>
      </c>
      <c r="H52" t="s">
        <v>74</v>
      </c>
      <c r="I52" t="s">
        <v>810</v>
      </c>
      <c r="J52" t="s">
        <v>811</v>
      </c>
      <c r="K52" t="s">
        <v>74</v>
      </c>
      <c r="L52" t="s">
        <v>74</v>
      </c>
      <c r="M52" t="s">
        <v>77</v>
      </c>
      <c r="N52" t="s">
        <v>78</v>
      </c>
      <c r="O52" t="s">
        <v>74</v>
      </c>
      <c r="P52" t="s">
        <v>74</v>
      </c>
      <c r="Q52" t="s">
        <v>74</v>
      </c>
      <c r="R52" t="s">
        <v>74</v>
      </c>
      <c r="S52" t="s">
        <v>74</v>
      </c>
      <c r="T52" t="s">
        <v>812</v>
      </c>
      <c r="U52" t="s">
        <v>813</v>
      </c>
      <c r="V52" t="s">
        <v>814</v>
      </c>
      <c r="W52" t="s">
        <v>815</v>
      </c>
      <c r="X52" t="s">
        <v>816</v>
      </c>
      <c r="Y52" t="s">
        <v>817</v>
      </c>
      <c r="Z52" t="s">
        <v>74</v>
      </c>
      <c r="AA52" t="s">
        <v>74</v>
      </c>
      <c r="AB52" t="s">
        <v>74</v>
      </c>
      <c r="AC52" t="s">
        <v>74</v>
      </c>
      <c r="AD52" t="s">
        <v>74</v>
      </c>
      <c r="AE52" t="s">
        <v>74</v>
      </c>
      <c r="AF52" t="s">
        <v>74</v>
      </c>
      <c r="AG52">
        <v>31</v>
      </c>
      <c r="AH52">
        <v>12</v>
      </c>
      <c r="AI52">
        <v>12</v>
      </c>
      <c r="AJ52">
        <v>1</v>
      </c>
      <c r="AK52">
        <v>5</v>
      </c>
      <c r="AL52" t="s">
        <v>275</v>
      </c>
      <c r="AM52" t="s">
        <v>276</v>
      </c>
      <c r="AN52" t="s">
        <v>277</v>
      </c>
      <c r="AO52" t="s">
        <v>818</v>
      </c>
      <c r="AP52" t="s">
        <v>74</v>
      </c>
      <c r="AQ52" t="s">
        <v>74</v>
      </c>
      <c r="AR52" t="s">
        <v>819</v>
      </c>
      <c r="AS52" t="s">
        <v>820</v>
      </c>
      <c r="AT52" t="s">
        <v>537</v>
      </c>
      <c r="AU52">
        <v>1999</v>
      </c>
      <c r="AV52">
        <v>124</v>
      </c>
      <c r="AW52">
        <v>3</v>
      </c>
      <c r="AX52" t="s">
        <v>74</v>
      </c>
      <c r="AY52" t="s">
        <v>74</v>
      </c>
      <c r="AZ52" t="s">
        <v>74</v>
      </c>
      <c r="BA52" t="s">
        <v>74</v>
      </c>
      <c r="BB52">
        <v>301</v>
      </c>
      <c r="BC52">
        <v>307</v>
      </c>
      <c r="BD52" t="s">
        <v>74</v>
      </c>
      <c r="BE52" t="s">
        <v>821</v>
      </c>
      <c r="BF52" t="str">
        <f>HYPERLINK("http://dx.doi.org/10.1016/S0742-8413(99)00079-1","http://dx.doi.org/10.1016/S0742-8413(99)00079-1")</f>
        <v>http://dx.doi.org/10.1016/S0742-8413(99)00079-1</v>
      </c>
      <c r="BG52" t="s">
        <v>74</v>
      </c>
      <c r="BH52" t="s">
        <v>74</v>
      </c>
      <c r="BI52">
        <v>7</v>
      </c>
      <c r="BJ52" t="s">
        <v>822</v>
      </c>
      <c r="BK52" t="s">
        <v>96</v>
      </c>
      <c r="BL52" t="s">
        <v>822</v>
      </c>
      <c r="BM52" t="s">
        <v>823</v>
      </c>
      <c r="BN52">
        <v>10661723</v>
      </c>
      <c r="BO52" t="s">
        <v>74</v>
      </c>
      <c r="BP52" t="s">
        <v>74</v>
      </c>
      <c r="BQ52" t="s">
        <v>74</v>
      </c>
      <c r="BR52" t="s">
        <v>99</v>
      </c>
      <c r="BS52" t="s">
        <v>824</v>
      </c>
      <c r="BT52" t="str">
        <f>HYPERLINK("https%3A%2F%2Fwww.webofscience.com%2Fwos%2Fwoscc%2Ffull-record%2FWOS:000084122700011","View Full Record in Web of Science")</f>
        <v>View Full Record in Web of Science</v>
      </c>
    </row>
    <row r="53" spans="1:72" x14ac:dyDescent="0.15">
      <c r="A53" t="s">
        <v>72</v>
      </c>
      <c r="B53" t="s">
        <v>825</v>
      </c>
      <c r="C53" t="s">
        <v>74</v>
      </c>
      <c r="D53" t="s">
        <v>74</v>
      </c>
      <c r="E53" t="s">
        <v>74</v>
      </c>
      <c r="F53" t="s">
        <v>825</v>
      </c>
      <c r="G53" t="s">
        <v>74</v>
      </c>
      <c r="H53" t="s">
        <v>74</v>
      </c>
      <c r="I53" t="s">
        <v>826</v>
      </c>
      <c r="J53" t="s">
        <v>827</v>
      </c>
      <c r="K53" t="s">
        <v>74</v>
      </c>
      <c r="L53" t="s">
        <v>74</v>
      </c>
      <c r="M53" t="s">
        <v>77</v>
      </c>
      <c r="N53" t="s">
        <v>78</v>
      </c>
      <c r="O53" t="s">
        <v>74</v>
      </c>
      <c r="P53" t="s">
        <v>74</v>
      </c>
      <c r="Q53" t="s">
        <v>74</v>
      </c>
      <c r="R53" t="s">
        <v>74</v>
      </c>
      <c r="S53" t="s">
        <v>74</v>
      </c>
      <c r="T53" t="s">
        <v>74</v>
      </c>
      <c r="U53" t="s">
        <v>828</v>
      </c>
      <c r="V53" t="s">
        <v>829</v>
      </c>
      <c r="W53" t="s">
        <v>830</v>
      </c>
      <c r="X53" t="s">
        <v>831</v>
      </c>
      <c r="Y53" t="s">
        <v>832</v>
      </c>
      <c r="Z53" t="s">
        <v>833</v>
      </c>
      <c r="AA53" t="s">
        <v>834</v>
      </c>
      <c r="AB53" t="s">
        <v>835</v>
      </c>
      <c r="AC53" t="s">
        <v>74</v>
      </c>
      <c r="AD53" t="s">
        <v>74</v>
      </c>
      <c r="AE53" t="s">
        <v>74</v>
      </c>
      <c r="AF53" t="s">
        <v>74</v>
      </c>
      <c r="AG53">
        <v>85</v>
      </c>
      <c r="AH53">
        <v>46</v>
      </c>
      <c r="AI53">
        <v>52</v>
      </c>
      <c r="AJ53">
        <v>0</v>
      </c>
      <c r="AK53">
        <v>34</v>
      </c>
      <c r="AL53" t="s">
        <v>275</v>
      </c>
      <c r="AM53" t="s">
        <v>276</v>
      </c>
      <c r="AN53" t="s">
        <v>277</v>
      </c>
      <c r="AO53" t="s">
        <v>836</v>
      </c>
      <c r="AP53" t="s">
        <v>74</v>
      </c>
      <c r="AQ53" t="s">
        <v>74</v>
      </c>
      <c r="AR53" t="s">
        <v>837</v>
      </c>
      <c r="AS53" t="s">
        <v>838</v>
      </c>
      <c r="AT53" t="s">
        <v>537</v>
      </c>
      <c r="AU53">
        <v>1999</v>
      </c>
      <c r="AV53">
        <v>46</v>
      </c>
      <c r="AW53">
        <v>11</v>
      </c>
      <c r="AX53" t="s">
        <v>74</v>
      </c>
      <c r="AY53" t="s">
        <v>74</v>
      </c>
      <c r="AZ53" t="s">
        <v>74</v>
      </c>
      <c r="BA53" t="s">
        <v>74</v>
      </c>
      <c r="BB53">
        <v>1923</v>
      </c>
      <c r="BC53">
        <v>1968</v>
      </c>
      <c r="BD53" t="s">
        <v>74</v>
      </c>
      <c r="BE53" t="s">
        <v>839</v>
      </c>
      <c r="BF53" t="str">
        <f>HYPERLINK("http://dx.doi.org/10.1016/S0967-0637(99)00033-3","http://dx.doi.org/10.1016/S0967-0637(99)00033-3")</f>
        <v>http://dx.doi.org/10.1016/S0967-0637(99)00033-3</v>
      </c>
      <c r="BG53" t="s">
        <v>74</v>
      </c>
      <c r="BH53" t="s">
        <v>74</v>
      </c>
      <c r="BI53">
        <v>46</v>
      </c>
      <c r="BJ53" t="s">
        <v>416</v>
      </c>
      <c r="BK53" t="s">
        <v>96</v>
      </c>
      <c r="BL53" t="s">
        <v>416</v>
      </c>
      <c r="BM53" t="s">
        <v>840</v>
      </c>
      <c r="BN53" t="s">
        <v>74</v>
      </c>
      <c r="BO53" t="s">
        <v>74</v>
      </c>
      <c r="BP53" t="s">
        <v>74</v>
      </c>
      <c r="BQ53" t="s">
        <v>74</v>
      </c>
      <c r="BR53" t="s">
        <v>99</v>
      </c>
      <c r="BS53" t="s">
        <v>841</v>
      </c>
      <c r="BT53" t="str">
        <f>HYPERLINK("https%3A%2F%2Fwww.webofscience.com%2Fwos%2Fwoscc%2Ffull-record%2FWOS:000082679400004","View Full Record in Web of Science")</f>
        <v>View Full Record in Web of Science</v>
      </c>
    </row>
    <row r="54" spans="1:72" x14ac:dyDescent="0.15">
      <c r="A54" t="s">
        <v>72</v>
      </c>
      <c r="B54" t="s">
        <v>842</v>
      </c>
      <c r="C54" t="s">
        <v>74</v>
      </c>
      <c r="D54" t="s">
        <v>74</v>
      </c>
      <c r="E54" t="s">
        <v>74</v>
      </c>
      <c r="F54" t="s">
        <v>842</v>
      </c>
      <c r="G54" t="s">
        <v>74</v>
      </c>
      <c r="H54" t="s">
        <v>74</v>
      </c>
      <c r="I54" t="s">
        <v>843</v>
      </c>
      <c r="J54" t="s">
        <v>844</v>
      </c>
      <c r="K54" t="s">
        <v>74</v>
      </c>
      <c r="L54" t="s">
        <v>74</v>
      </c>
      <c r="M54" t="s">
        <v>845</v>
      </c>
      <c r="N54" t="s">
        <v>78</v>
      </c>
      <c r="O54" t="s">
        <v>74</v>
      </c>
      <c r="P54" t="s">
        <v>74</v>
      </c>
      <c r="Q54" t="s">
        <v>74</v>
      </c>
      <c r="R54" t="s">
        <v>74</v>
      </c>
      <c r="S54" t="s">
        <v>74</v>
      </c>
      <c r="T54" t="s">
        <v>74</v>
      </c>
      <c r="U54" t="s">
        <v>74</v>
      </c>
      <c r="V54" t="s">
        <v>74</v>
      </c>
      <c r="W54" t="s">
        <v>846</v>
      </c>
      <c r="X54" t="s">
        <v>847</v>
      </c>
      <c r="Y54" t="s">
        <v>848</v>
      </c>
      <c r="Z54" t="s">
        <v>74</v>
      </c>
      <c r="AA54" t="s">
        <v>74</v>
      </c>
      <c r="AB54" t="s">
        <v>74</v>
      </c>
      <c r="AC54" t="s">
        <v>74</v>
      </c>
      <c r="AD54" t="s">
        <v>74</v>
      </c>
      <c r="AE54" t="s">
        <v>74</v>
      </c>
      <c r="AF54" t="s">
        <v>74</v>
      </c>
      <c r="AG54">
        <v>6</v>
      </c>
      <c r="AH54">
        <v>0</v>
      </c>
      <c r="AI54">
        <v>0</v>
      </c>
      <c r="AJ54">
        <v>0</v>
      </c>
      <c r="AK54">
        <v>0</v>
      </c>
      <c r="AL54" t="s">
        <v>849</v>
      </c>
      <c r="AM54" t="s">
        <v>850</v>
      </c>
      <c r="AN54" t="s">
        <v>851</v>
      </c>
      <c r="AO54" t="s">
        <v>852</v>
      </c>
      <c r="AP54" t="s">
        <v>74</v>
      </c>
      <c r="AQ54" t="s">
        <v>74</v>
      </c>
      <c r="AR54" t="s">
        <v>853</v>
      </c>
      <c r="AS54" t="s">
        <v>854</v>
      </c>
      <c r="AT54" t="s">
        <v>537</v>
      </c>
      <c r="AU54">
        <v>1999</v>
      </c>
      <c r="AV54">
        <v>369</v>
      </c>
      <c r="AW54">
        <v>1</v>
      </c>
      <c r="AX54" t="s">
        <v>74</v>
      </c>
      <c r="AY54" t="s">
        <v>74</v>
      </c>
      <c r="AZ54" t="s">
        <v>74</v>
      </c>
      <c r="BA54" t="s">
        <v>74</v>
      </c>
      <c r="BB54">
        <v>111</v>
      </c>
      <c r="BC54">
        <v>115</v>
      </c>
      <c r="BD54" t="s">
        <v>74</v>
      </c>
      <c r="BE54" t="s">
        <v>74</v>
      </c>
      <c r="BF54" t="s">
        <v>74</v>
      </c>
      <c r="BG54" t="s">
        <v>74</v>
      </c>
      <c r="BH54" t="s">
        <v>74</v>
      </c>
      <c r="BI54">
        <v>5</v>
      </c>
      <c r="BJ54" t="s">
        <v>303</v>
      </c>
      <c r="BK54" t="s">
        <v>96</v>
      </c>
      <c r="BL54" t="s">
        <v>304</v>
      </c>
      <c r="BM54" t="s">
        <v>855</v>
      </c>
      <c r="BN54" t="s">
        <v>74</v>
      </c>
      <c r="BO54" t="s">
        <v>74</v>
      </c>
      <c r="BP54" t="s">
        <v>74</v>
      </c>
      <c r="BQ54" t="s">
        <v>74</v>
      </c>
      <c r="BR54" t="s">
        <v>99</v>
      </c>
      <c r="BS54" t="s">
        <v>856</v>
      </c>
      <c r="BT54" t="str">
        <f>HYPERLINK("https%3A%2F%2Fwww.webofscience.com%2Fwos%2Fwoscc%2Ffull-record%2FWOS:000086326700031","View Full Record in Web of Science")</f>
        <v>View Full Record in Web of Science</v>
      </c>
    </row>
    <row r="55" spans="1:72" x14ac:dyDescent="0.15">
      <c r="A55" t="s">
        <v>72</v>
      </c>
      <c r="B55" t="s">
        <v>857</v>
      </c>
      <c r="C55" t="s">
        <v>74</v>
      </c>
      <c r="D55" t="s">
        <v>74</v>
      </c>
      <c r="E55" t="s">
        <v>74</v>
      </c>
      <c r="F55" t="s">
        <v>857</v>
      </c>
      <c r="G55" t="s">
        <v>74</v>
      </c>
      <c r="H55" t="s">
        <v>74</v>
      </c>
      <c r="I55" t="s">
        <v>858</v>
      </c>
      <c r="J55" t="s">
        <v>859</v>
      </c>
      <c r="K55" t="s">
        <v>74</v>
      </c>
      <c r="L55" t="s">
        <v>74</v>
      </c>
      <c r="M55" t="s">
        <v>77</v>
      </c>
      <c r="N55" t="s">
        <v>205</v>
      </c>
      <c r="O55" t="s">
        <v>74</v>
      </c>
      <c r="P55" t="s">
        <v>74</v>
      </c>
      <c r="Q55" t="s">
        <v>74</v>
      </c>
      <c r="R55" t="s">
        <v>74</v>
      </c>
      <c r="S55" t="s">
        <v>74</v>
      </c>
      <c r="T55" t="s">
        <v>74</v>
      </c>
      <c r="U55" t="s">
        <v>860</v>
      </c>
      <c r="V55" t="s">
        <v>74</v>
      </c>
      <c r="W55" t="s">
        <v>861</v>
      </c>
      <c r="X55" t="s">
        <v>131</v>
      </c>
      <c r="Y55" t="s">
        <v>862</v>
      </c>
      <c r="Z55" t="s">
        <v>74</v>
      </c>
      <c r="AA55" t="s">
        <v>74</v>
      </c>
      <c r="AB55" t="s">
        <v>74</v>
      </c>
      <c r="AC55" t="s">
        <v>74</v>
      </c>
      <c r="AD55" t="s">
        <v>74</v>
      </c>
      <c r="AE55" t="s">
        <v>74</v>
      </c>
      <c r="AF55" t="s">
        <v>74</v>
      </c>
      <c r="AG55">
        <v>5</v>
      </c>
      <c r="AH55">
        <v>13</v>
      </c>
      <c r="AI55">
        <v>14</v>
      </c>
      <c r="AJ55">
        <v>0</v>
      </c>
      <c r="AK55">
        <v>7</v>
      </c>
      <c r="AL55" t="s">
        <v>863</v>
      </c>
      <c r="AM55" t="s">
        <v>276</v>
      </c>
      <c r="AN55" t="s">
        <v>864</v>
      </c>
      <c r="AO55" t="s">
        <v>865</v>
      </c>
      <c r="AP55" t="s">
        <v>74</v>
      </c>
      <c r="AQ55" t="s">
        <v>74</v>
      </c>
      <c r="AR55" t="s">
        <v>866</v>
      </c>
      <c r="AS55" t="s">
        <v>867</v>
      </c>
      <c r="AT55" t="s">
        <v>537</v>
      </c>
      <c r="AU55">
        <v>1999</v>
      </c>
      <c r="AV55">
        <v>2</v>
      </c>
      <c r="AW55">
        <v>6</v>
      </c>
      <c r="AX55" t="s">
        <v>74</v>
      </c>
      <c r="AY55" t="s">
        <v>74</v>
      </c>
      <c r="AZ55" t="s">
        <v>74</v>
      </c>
      <c r="BA55" t="s">
        <v>74</v>
      </c>
      <c r="BB55">
        <v>401</v>
      </c>
      <c r="BC55">
        <v>403</v>
      </c>
      <c r="BD55" t="s">
        <v>74</v>
      </c>
      <c r="BE55" t="s">
        <v>74</v>
      </c>
      <c r="BF55" t="s">
        <v>74</v>
      </c>
      <c r="BG55" t="s">
        <v>74</v>
      </c>
      <c r="BH55" t="s">
        <v>74</v>
      </c>
      <c r="BI55">
        <v>3</v>
      </c>
      <c r="BJ55" t="s">
        <v>868</v>
      </c>
      <c r="BK55" t="s">
        <v>96</v>
      </c>
      <c r="BL55" t="s">
        <v>761</v>
      </c>
      <c r="BM55" t="s">
        <v>869</v>
      </c>
      <c r="BN55" t="s">
        <v>74</v>
      </c>
      <c r="BO55" t="s">
        <v>74</v>
      </c>
      <c r="BP55" t="s">
        <v>74</v>
      </c>
      <c r="BQ55" t="s">
        <v>74</v>
      </c>
      <c r="BR55" t="s">
        <v>99</v>
      </c>
      <c r="BS55" t="s">
        <v>870</v>
      </c>
      <c r="BT55" t="str">
        <f>HYPERLINK("https%3A%2F%2Fwww.webofscience.com%2Fwos%2Fwoscc%2Ffull-record%2FWOS:000083822200010","View Full Record in Web of Science")</f>
        <v>View Full Record in Web of Science</v>
      </c>
    </row>
    <row r="56" spans="1:72" x14ac:dyDescent="0.15">
      <c r="A56" t="s">
        <v>72</v>
      </c>
      <c r="B56" t="s">
        <v>871</v>
      </c>
      <c r="C56" t="s">
        <v>74</v>
      </c>
      <c r="D56" t="s">
        <v>74</v>
      </c>
      <c r="E56" t="s">
        <v>74</v>
      </c>
      <c r="F56" t="s">
        <v>871</v>
      </c>
      <c r="G56" t="s">
        <v>74</v>
      </c>
      <c r="H56" t="s">
        <v>74</v>
      </c>
      <c r="I56" t="s">
        <v>872</v>
      </c>
      <c r="J56" t="s">
        <v>873</v>
      </c>
      <c r="K56" t="s">
        <v>74</v>
      </c>
      <c r="L56" t="s">
        <v>74</v>
      </c>
      <c r="M56" t="s">
        <v>77</v>
      </c>
      <c r="N56" t="s">
        <v>78</v>
      </c>
      <c r="O56" t="s">
        <v>74</v>
      </c>
      <c r="P56" t="s">
        <v>74</v>
      </c>
      <c r="Q56" t="s">
        <v>74</v>
      </c>
      <c r="R56" t="s">
        <v>74</v>
      </c>
      <c r="S56" t="s">
        <v>74</v>
      </c>
      <c r="T56" t="s">
        <v>874</v>
      </c>
      <c r="U56" t="s">
        <v>875</v>
      </c>
      <c r="V56" t="s">
        <v>876</v>
      </c>
      <c r="W56" t="s">
        <v>877</v>
      </c>
      <c r="X56" t="s">
        <v>878</v>
      </c>
      <c r="Y56" t="s">
        <v>879</v>
      </c>
      <c r="Z56" t="s">
        <v>74</v>
      </c>
      <c r="AA56" t="s">
        <v>880</v>
      </c>
      <c r="AB56" t="s">
        <v>74</v>
      </c>
      <c r="AC56" t="s">
        <v>74</v>
      </c>
      <c r="AD56" t="s">
        <v>74</v>
      </c>
      <c r="AE56" t="s">
        <v>74</v>
      </c>
      <c r="AF56" t="s">
        <v>74</v>
      </c>
      <c r="AG56">
        <v>53</v>
      </c>
      <c r="AH56">
        <v>123</v>
      </c>
      <c r="AI56">
        <v>144</v>
      </c>
      <c r="AJ56">
        <v>6</v>
      </c>
      <c r="AK56">
        <v>42</v>
      </c>
      <c r="AL56" t="s">
        <v>553</v>
      </c>
      <c r="AM56" t="s">
        <v>554</v>
      </c>
      <c r="AN56" t="s">
        <v>555</v>
      </c>
      <c r="AO56" t="s">
        <v>881</v>
      </c>
      <c r="AP56" t="s">
        <v>74</v>
      </c>
      <c r="AQ56" t="s">
        <v>74</v>
      </c>
      <c r="AR56" t="s">
        <v>873</v>
      </c>
      <c r="AS56" t="s">
        <v>882</v>
      </c>
      <c r="AT56" t="s">
        <v>883</v>
      </c>
      <c r="AU56">
        <v>1999</v>
      </c>
      <c r="AV56">
        <v>2</v>
      </c>
      <c r="AW56">
        <v>6</v>
      </c>
      <c r="AX56" t="s">
        <v>74</v>
      </c>
      <c r="AY56" t="s">
        <v>74</v>
      </c>
      <c r="AZ56" t="s">
        <v>74</v>
      </c>
      <c r="BA56" t="s">
        <v>74</v>
      </c>
      <c r="BB56">
        <v>482</v>
      </c>
      <c r="BC56">
        <v>492</v>
      </c>
      <c r="BD56" t="s">
        <v>74</v>
      </c>
      <c r="BE56" t="s">
        <v>884</v>
      </c>
      <c r="BF56" t="str">
        <f>HYPERLINK("http://dx.doi.org/10.1007/s100219900096","http://dx.doi.org/10.1007/s100219900096")</f>
        <v>http://dx.doi.org/10.1007/s100219900096</v>
      </c>
      <c r="BG56" t="s">
        <v>74</v>
      </c>
      <c r="BH56" t="s">
        <v>74</v>
      </c>
      <c r="BI56">
        <v>11</v>
      </c>
      <c r="BJ56" t="s">
        <v>868</v>
      </c>
      <c r="BK56" t="s">
        <v>96</v>
      </c>
      <c r="BL56" t="s">
        <v>761</v>
      </c>
      <c r="BM56" t="s">
        <v>885</v>
      </c>
      <c r="BN56" t="s">
        <v>74</v>
      </c>
      <c r="BO56" t="s">
        <v>74</v>
      </c>
      <c r="BP56" t="s">
        <v>74</v>
      </c>
      <c r="BQ56" t="s">
        <v>74</v>
      </c>
      <c r="BR56" t="s">
        <v>99</v>
      </c>
      <c r="BS56" t="s">
        <v>886</v>
      </c>
      <c r="BT56" t="str">
        <f>HYPERLINK("https%3A%2F%2Fwww.webofscience.com%2Fwos%2Fwoscc%2Ffull-record%2FWOS:000084534100002","View Full Record in Web of Science")</f>
        <v>View Full Record in Web of Science</v>
      </c>
    </row>
    <row r="57" spans="1:72" x14ac:dyDescent="0.15">
      <c r="A57" t="s">
        <v>72</v>
      </c>
      <c r="B57" t="s">
        <v>887</v>
      </c>
      <c r="C57" t="s">
        <v>74</v>
      </c>
      <c r="D57" t="s">
        <v>74</v>
      </c>
      <c r="E57" t="s">
        <v>74</v>
      </c>
      <c r="F57" t="s">
        <v>887</v>
      </c>
      <c r="G57" t="s">
        <v>74</v>
      </c>
      <c r="H57" t="s">
        <v>74</v>
      </c>
      <c r="I57" t="s">
        <v>888</v>
      </c>
      <c r="J57" t="s">
        <v>889</v>
      </c>
      <c r="K57" t="s">
        <v>74</v>
      </c>
      <c r="L57" t="s">
        <v>74</v>
      </c>
      <c r="M57" t="s">
        <v>77</v>
      </c>
      <c r="N57" t="s">
        <v>78</v>
      </c>
      <c r="O57" t="s">
        <v>74</v>
      </c>
      <c r="P57" t="s">
        <v>74</v>
      </c>
      <c r="Q57" t="s">
        <v>74</v>
      </c>
      <c r="R57" t="s">
        <v>74</v>
      </c>
      <c r="S57" t="s">
        <v>74</v>
      </c>
      <c r="T57" t="s">
        <v>74</v>
      </c>
      <c r="U57" t="s">
        <v>890</v>
      </c>
      <c r="V57" t="s">
        <v>891</v>
      </c>
      <c r="W57" t="s">
        <v>892</v>
      </c>
      <c r="X57" t="s">
        <v>893</v>
      </c>
      <c r="Y57" t="s">
        <v>894</v>
      </c>
      <c r="Z57" t="s">
        <v>74</v>
      </c>
      <c r="AA57" t="s">
        <v>74</v>
      </c>
      <c r="AB57" t="s">
        <v>895</v>
      </c>
      <c r="AC57" t="s">
        <v>74</v>
      </c>
      <c r="AD57" t="s">
        <v>74</v>
      </c>
      <c r="AE57" t="s">
        <v>74</v>
      </c>
      <c r="AF57" t="s">
        <v>74</v>
      </c>
      <c r="AG57">
        <v>30</v>
      </c>
      <c r="AH57">
        <v>65</v>
      </c>
      <c r="AI57">
        <v>71</v>
      </c>
      <c r="AJ57">
        <v>0</v>
      </c>
      <c r="AK57">
        <v>10</v>
      </c>
      <c r="AL57" t="s">
        <v>896</v>
      </c>
      <c r="AM57" t="s">
        <v>589</v>
      </c>
      <c r="AN57" t="s">
        <v>897</v>
      </c>
      <c r="AO57" t="s">
        <v>898</v>
      </c>
      <c r="AP57" t="s">
        <v>74</v>
      </c>
      <c r="AQ57" t="s">
        <v>74</v>
      </c>
      <c r="AR57" t="s">
        <v>889</v>
      </c>
      <c r="AS57" t="s">
        <v>388</v>
      </c>
      <c r="AT57" t="s">
        <v>537</v>
      </c>
      <c r="AU57">
        <v>1999</v>
      </c>
      <c r="AV57">
        <v>27</v>
      </c>
      <c r="AW57">
        <v>11</v>
      </c>
      <c r="AX57" t="s">
        <v>74</v>
      </c>
      <c r="AY57" t="s">
        <v>74</v>
      </c>
      <c r="AZ57" t="s">
        <v>74</v>
      </c>
      <c r="BA57" t="s">
        <v>74</v>
      </c>
      <c r="BB57">
        <v>967</v>
      </c>
      <c r="BC57">
        <v>970</v>
      </c>
      <c r="BD57" t="s">
        <v>74</v>
      </c>
      <c r="BE57" t="s">
        <v>899</v>
      </c>
      <c r="BF57" t="str">
        <f>HYPERLINK("http://dx.doi.org/10.1130/0091-7613(1999)027&lt;0967:LGTMHC&gt;2.3.CO;2","http://dx.doi.org/10.1130/0091-7613(1999)027&lt;0967:LGTMHC&gt;2.3.CO;2")</f>
        <v>http://dx.doi.org/10.1130/0091-7613(1999)027&lt;0967:LGTMHC&gt;2.3.CO;2</v>
      </c>
      <c r="BG57" t="s">
        <v>74</v>
      </c>
      <c r="BH57" t="s">
        <v>74</v>
      </c>
      <c r="BI57">
        <v>4</v>
      </c>
      <c r="BJ57" t="s">
        <v>388</v>
      </c>
      <c r="BK57" t="s">
        <v>96</v>
      </c>
      <c r="BL57" t="s">
        <v>388</v>
      </c>
      <c r="BM57" t="s">
        <v>900</v>
      </c>
      <c r="BN57" t="s">
        <v>74</v>
      </c>
      <c r="BO57" t="s">
        <v>74</v>
      </c>
      <c r="BP57" t="s">
        <v>74</v>
      </c>
      <c r="BQ57" t="s">
        <v>74</v>
      </c>
      <c r="BR57" t="s">
        <v>99</v>
      </c>
      <c r="BS57" t="s">
        <v>901</v>
      </c>
      <c r="BT57" t="str">
        <f>HYPERLINK("https%3A%2F%2Fwww.webofscience.com%2Fwos%2Fwoscc%2Ffull-record%2FWOS:000083485100002","View Full Record in Web of Science")</f>
        <v>View Full Record in Web of Science</v>
      </c>
    </row>
    <row r="58" spans="1:72" x14ac:dyDescent="0.15">
      <c r="A58" t="s">
        <v>72</v>
      </c>
      <c r="B58" t="s">
        <v>902</v>
      </c>
      <c r="C58" t="s">
        <v>74</v>
      </c>
      <c r="D58" t="s">
        <v>74</v>
      </c>
      <c r="E58" t="s">
        <v>74</v>
      </c>
      <c r="F58" t="s">
        <v>902</v>
      </c>
      <c r="G58" t="s">
        <v>74</v>
      </c>
      <c r="H58" t="s">
        <v>74</v>
      </c>
      <c r="I58" t="s">
        <v>903</v>
      </c>
      <c r="J58" t="s">
        <v>889</v>
      </c>
      <c r="K58" t="s">
        <v>74</v>
      </c>
      <c r="L58" t="s">
        <v>74</v>
      </c>
      <c r="M58" t="s">
        <v>77</v>
      </c>
      <c r="N58" t="s">
        <v>78</v>
      </c>
      <c r="O58" t="s">
        <v>74</v>
      </c>
      <c r="P58" t="s">
        <v>74</v>
      </c>
      <c r="Q58" t="s">
        <v>74</v>
      </c>
      <c r="R58" t="s">
        <v>74</v>
      </c>
      <c r="S58" t="s">
        <v>74</v>
      </c>
      <c r="T58" t="s">
        <v>74</v>
      </c>
      <c r="U58" t="s">
        <v>904</v>
      </c>
      <c r="V58" t="s">
        <v>905</v>
      </c>
      <c r="W58" t="s">
        <v>906</v>
      </c>
      <c r="X58" t="s">
        <v>907</v>
      </c>
      <c r="Y58" t="s">
        <v>908</v>
      </c>
      <c r="Z58" t="s">
        <v>74</v>
      </c>
      <c r="AA58" t="s">
        <v>909</v>
      </c>
      <c r="AB58" t="s">
        <v>74</v>
      </c>
      <c r="AC58" t="s">
        <v>74</v>
      </c>
      <c r="AD58" t="s">
        <v>74</v>
      </c>
      <c r="AE58" t="s">
        <v>74</v>
      </c>
      <c r="AF58" t="s">
        <v>74</v>
      </c>
      <c r="AG58">
        <v>41</v>
      </c>
      <c r="AH58">
        <v>22</v>
      </c>
      <c r="AI58">
        <v>26</v>
      </c>
      <c r="AJ58">
        <v>0</v>
      </c>
      <c r="AK58">
        <v>4</v>
      </c>
      <c r="AL58" t="s">
        <v>896</v>
      </c>
      <c r="AM58" t="s">
        <v>589</v>
      </c>
      <c r="AN58" t="s">
        <v>897</v>
      </c>
      <c r="AO58" t="s">
        <v>898</v>
      </c>
      <c r="AP58" t="s">
        <v>74</v>
      </c>
      <c r="AQ58" t="s">
        <v>74</v>
      </c>
      <c r="AR58" t="s">
        <v>889</v>
      </c>
      <c r="AS58" t="s">
        <v>388</v>
      </c>
      <c r="AT58" t="s">
        <v>537</v>
      </c>
      <c r="AU58">
        <v>1999</v>
      </c>
      <c r="AV58">
        <v>27</v>
      </c>
      <c r="AW58">
        <v>11</v>
      </c>
      <c r="AX58" t="s">
        <v>74</v>
      </c>
      <c r="AY58" t="s">
        <v>74</v>
      </c>
      <c r="AZ58" t="s">
        <v>74</v>
      </c>
      <c r="BA58" t="s">
        <v>74</v>
      </c>
      <c r="BB58">
        <v>1003</v>
      </c>
      <c r="BC58">
        <v>1006</v>
      </c>
      <c r="BD58" t="s">
        <v>74</v>
      </c>
      <c r="BE58" t="s">
        <v>910</v>
      </c>
      <c r="BF58" t="str">
        <f>HYPERLINK("http://dx.doi.org/10.1130/0091-7613(1999)027&lt;1003:ARAHAA&gt;2.3.CO;2","http://dx.doi.org/10.1130/0091-7613(1999)027&lt;1003:ARAHAA&gt;2.3.CO;2")</f>
        <v>http://dx.doi.org/10.1130/0091-7613(1999)027&lt;1003:ARAHAA&gt;2.3.CO;2</v>
      </c>
      <c r="BG58" t="s">
        <v>74</v>
      </c>
      <c r="BH58" t="s">
        <v>74</v>
      </c>
      <c r="BI58">
        <v>4</v>
      </c>
      <c r="BJ58" t="s">
        <v>388</v>
      </c>
      <c r="BK58" t="s">
        <v>96</v>
      </c>
      <c r="BL58" t="s">
        <v>388</v>
      </c>
      <c r="BM58" t="s">
        <v>900</v>
      </c>
      <c r="BN58" t="s">
        <v>74</v>
      </c>
      <c r="BO58" t="s">
        <v>74</v>
      </c>
      <c r="BP58" t="s">
        <v>74</v>
      </c>
      <c r="BQ58" t="s">
        <v>74</v>
      </c>
      <c r="BR58" t="s">
        <v>99</v>
      </c>
      <c r="BS58" t="s">
        <v>911</v>
      </c>
      <c r="BT58" t="str">
        <f>HYPERLINK("https%3A%2F%2Fwww.webofscience.com%2Fwos%2Fwoscc%2Ffull-record%2FWOS:000083485100011","View Full Record in Web of Science")</f>
        <v>View Full Record in Web of Science</v>
      </c>
    </row>
    <row r="59" spans="1:72" x14ac:dyDescent="0.15">
      <c r="A59" t="s">
        <v>72</v>
      </c>
      <c r="B59" t="s">
        <v>912</v>
      </c>
      <c r="C59" t="s">
        <v>74</v>
      </c>
      <c r="D59" t="s">
        <v>74</v>
      </c>
      <c r="E59" t="s">
        <v>74</v>
      </c>
      <c r="F59" t="s">
        <v>912</v>
      </c>
      <c r="G59" t="s">
        <v>74</v>
      </c>
      <c r="H59" t="s">
        <v>74</v>
      </c>
      <c r="I59" t="s">
        <v>913</v>
      </c>
      <c r="J59" t="s">
        <v>889</v>
      </c>
      <c r="K59" t="s">
        <v>74</v>
      </c>
      <c r="L59" t="s">
        <v>74</v>
      </c>
      <c r="M59" t="s">
        <v>77</v>
      </c>
      <c r="N59" t="s">
        <v>78</v>
      </c>
      <c r="O59" t="s">
        <v>74</v>
      </c>
      <c r="P59" t="s">
        <v>74</v>
      </c>
      <c r="Q59" t="s">
        <v>74</v>
      </c>
      <c r="R59" t="s">
        <v>74</v>
      </c>
      <c r="S59" t="s">
        <v>74</v>
      </c>
      <c r="T59" t="s">
        <v>74</v>
      </c>
      <c r="U59" t="s">
        <v>914</v>
      </c>
      <c r="V59" t="s">
        <v>915</v>
      </c>
      <c r="W59" t="s">
        <v>916</v>
      </c>
      <c r="X59" t="s">
        <v>917</v>
      </c>
      <c r="Y59" t="s">
        <v>918</v>
      </c>
      <c r="Z59" t="s">
        <v>919</v>
      </c>
      <c r="AA59" t="s">
        <v>920</v>
      </c>
      <c r="AB59" t="s">
        <v>921</v>
      </c>
      <c r="AC59" t="s">
        <v>74</v>
      </c>
      <c r="AD59" t="s">
        <v>74</v>
      </c>
      <c r="AE59" t="s">
        <v>74</v>
      </c>
      <c r="AF59" t="s">
        <v>74</v>
      </c>
      <c r="AG59">
        <v>23</v>
      </c>
      <c r="AH59">
        <v>55</v>
      </c>
      <c r="AI59">
        <v>61</v>
      </c>
      <c r="AJ59">
        <v>0</v>
      </c>
      <c r="AK59">
        <v>9</v>
      </c>
      <c r="AL59" t="s">
        <v>922</v>
      </c>
      <c r="AM59" t="s">
        <v>589</v>
      </c>
      <c r="AN59" t="s">
        <v>897</v>
      </c>
      <c r="AO59" t="s">
        <v>898</v>
      </c>
      <c r="AP59" t="s">
        <v>923</v>
      </c>
      <c r="AQ59" t="s">
        <v>74</v>
      </c>
      <c r="AR59" t="s">
        <v>889</v>
      </c>
      <c r="AS59" t="s">
        <v>388</v>
      </c>
      <c r="AT59" t="s">
        <v>537</v>
      </c>
      <c r="AU59">
        <v>1999</v>
      </c>
      <c r="AV59">
        <v>27</v>
      </c>
      <c r="AW59">
        <v>11</v>
      </c>
      <c r="AX59" t="s">
        <v>74</v>
      </c>
      <c r="AY59" t="s">
        <v>74</v>
      </c>
      <c r="AZ59" t="s">
        <v>74</v>
      </c>
      <c r="BA59" t="s">
        <v>74</v>
      </c>
      <c r="BB59">
        <v>1007</v>
      </c>
      <c r="BC59">
        <v>1010</v>
      </c>
      <c r="BD59" t="s">
        <v>74</v>
      </c>
      <c r="BE59" t="s">
        <v>924</v>
      </c>
      <c r="BF59" t="str">
        <f>HYPERLINK("http://dx.doi.org/10.1130/0091-7613(1999)027&lt;1007:BYOPEH&gt;2.3.CO;2","http://dx.doi.org/10.1130/0091-7613(1999)027&lt;1007:BYOPEH&gt;2.3.CO;2")</f>
        <v>http://dx.doi.org/10.1130/0091-7613(1999)027&lt;1007:BYOPEH&gt;2.3.CO;2</v>
      </c>
      <c r="BG59" t="s">
        <v>74</v>
      </c>
      <c r="BH59" t="s">
        <v>74</v>
      </c>
      <c r="BI59">
        <v>4</v>
      </c>
      <c r="BJ59" t="s">
        <v>388</v>
      </c>
      <c r="BK59" t="s">
        <v>96</v>
      </c>
      <c r="BL59" t="s">
        <v>388</v>
      </c>
      <c r="BM59" t="s">
        <v>900</v>
      </c>
      <c r="BN59" t="s">
        <v>74</v>
      </c>
      <c r="BO59" t="s">
        <v>74</v>
      </c>
      <c r="BP59" t="s">
        <v>74</v>
      </c>
      <c r="BQ59" t="s">
        <v>74</v>
      </c>
      <c r="BR59" t="s">
        <v>99</v>
      </c>
      <c r="BS59" t="s">
        <v>925</v>
      </c>
      <c r="BT59" t="str">
        <f>HYPERLINK("https%3A%2F%2Fwww.webofscience.com%2Fwos%2Fwoscc%2Ffull-record%2FWOS:000083485100012","View Full Record in Web of Science")</f>
        <v>View Full Record in Web of Science</v>
      </c>
    </row>
    <row r="60" spans="1:72" x14ac:dyDescent="0.15">
      <c r="A60" t="s">
        <v>72</v>
      </c>
      <c r="B60" t="s">
        <v>926</v>
      </c>
      <c r="C60" t="s">
        <v>74</v>
      </c>
      <c r="D60" t="s">
        <v>74</v>
      </c>
      <c r="E60" t="s">
        <v>74</v>
      </c>
      <c r="F60" t="s">
        <v>926</v>
      </c>
      <c r="G60" t="s">
        <v>74</v>
      </c>
      <c r="H60" t="s">
        <v>74</v>
      </c>
      <c r="I60" t="s">
        <v>927</v>
      </c>
      <c r="J60" t="s">
        <v>889</v>
      </c>
      <c r="K60" t="s">
        <v>74</v>
      </c>
      <c r="L60" t="s">
        <v>74</v>
      </c>
      <c r="M60" t="s">
        <v>77</v>
      </c>
      <c r="N60" t="s">
        <v>78</v>
      </c>
      <c r="O60" t="s">
        <v>74</v>
      </c>
      <c r="P60" t="s">
        <v>74</v>
      </c>
      <c r="Q60" t="s">
        <v>74</v>
      </c>
      <c r="R60" t="s">
        <v>74</v>
      </c>
      <c r="S60" t="s">
        <v>74</v>
      </c>
      <c r="T60" t="s">
        <v>74</v>
      </c>
      <c r="U60" t="s">
        <v>928</v>
      </c>
      <c r="V60" t="s">
        <v>929</v>
      </c>
      <c r="W60" t="s">
        <v>930</v>
      </c>
      <c r="X60" t="s">
        <v>931</v>
      </c>
      <c r="Y60" t="s">
        <v>932</v>
      </c>
      <c r="Z60" t="s">
        <v>74</v>
      </c>
      <c r="AA60" t="s">
        <v>933</v>
      </c>
      <c r="AB60" t="s">
        <v>934</v>
      </c>
      <c r="AC60" t="s">
        <v>74</v>
      </c>
      <c r="AD60" t="s">
        <v>74</v>
      </c>
      <c r="AE60" t="s">
        <v>74</v>
      </c>
      <c r="AF60" t="s">
        <v>74</v>
      </c>
      <c r="AG60">
        <v>26</v>
      </c>
      <c r="AH60">
        <v>5</v>
      </c>
      <c r="AI60">
        <v>6</v>
      </c>
      <c r="AJ60">
        <v>0</v>
      </c>
      <c r="AK60">
        <v>7</v>
      </c>
      <c r="AL60" t="s">
        <v>922</v>
      </c>
      <c r="AM60" t="s">
        <v>589</v>
      </c>
      <c r="AN60" t="s">
        <v>897</v>
      </c>
      <c r="AO60" t="s">
        <v>935</v>
      </c>
      <c r="AP60" t="s">
        <v>74</v>
      </c>
      <c r="AQ60" t="s">
        <v>74</v>
      </c>
      <c r="AR60" t="s">
        <v>889</v>
      </c>
      <c r="AS60" t="s">
        <v>388</v>
      </c>
      <c r="AT60" t="s">
        <v>537</v>
      </c>
      <c r="AU60">
        <v>1999</v>
      </c>
      <c r="AV60">
        <v>27</v>
      </c>
      <c r="AW60">
        <v>11</v>
      </c>
      <c r="AX60" t="s">
        <v>74</v>
      </c>
      <c r="AY60" t="s">
        <v>74</v>
      </c>
      <c r="AZ60" t="s">
        <v>74</v>
      </c>
      <c r="BA60" t="s">
        <v>74</v>
      </c>
      <c r="BB60">
        <v>1011</v>
      </c>
      <c r="BC60">
        <v>1014</v>
      </c>
      <c r="BD60" t="s">
        <v>74</v>
      </c>
      <c r="BE60" t="s">
        <v>936</v>
      </c>
      <c r="BF60" t="str">
        <f>HYPERLINK("http://dx.doi.org/10.1130/0091-7613(1999)027&lt;1011:CACOBW&gt;2.3.CO;2","http://dx.doi.org/10.1130/0091-7613(1999)027&lt;1011:CACOBW&gt;2.3.CO;2")</f>
        <v>http://dx.doi.org/10.1130/0091-7613(1999)027&lt;1011:CACOBW&gt;2.3.CO;2</v>
      </c>
      <c r="BG60" t="s">
        <v>74</v>
      </c>
      <c r="BH60" t="s">
        <v>74</v>
      </c>
      <c r="BI60">
        <v>4</v>
      </c>
      <c r="BJ60" t="s">
        <v>388</v>
      </c>
      <c r="BK60" t="s">
        <v>96</v>
      </c>
      <c r="BL60" t="s">
        <v>388</v>
      </c>
      <c r="BM60" t="s">
        <v>900</v>
      </c>
      <c r="BN60" t="s">
        <v>74</v>
      </c>
      <c r="BO60" t="s">
        <v>74</v>
      </c>
      <c r="BP60" t="s">
        <v>74</v>
      </c>
      <c r="BQ60" t="s">
        <v>74</v>
      </c>
      <c r="BR60" t="s">
        <v>99</v>
      </c>
      <c r="BS60" t="s">
        <v>937</v>
      </c>
      <c r="BT60" t="str">
        <f>HYPERLINK("https%3A%2F%2Fwww.webofscience.com%2Fwos%2Fwoscc%2Ffull-record%2FWOS:000083485100013","View Full Record in Web of Science")</f>
        <v>View Full Record in Web of Science</v>
      </c>
    </row>
    <row r="61" spans="1:72" x14ac:dyDescent="0.15">
      <c r="A61" t="s">
        <v>72</v>
      </c>
      <c r="B61" t="s">
        <v>938</v>
      </c>
      <c r="C61" t="s">
        <v>74</v>
      </c>
      <c r="D61" t="s">
        <v>74</v>
      </c>
      <c r="E61" t="s">
        <v>74</v>
      </c>
      <c r="F61" t="s">
        <v>938</v>
      </c>
      <c r="G61" t="s">
        <v>74</v>
      </c>
      <c r="H61" t="s">
        <v>74</v>
      </c>
      <c r="I61" t="s">
        <v>939</v>
      </c>
      <c r="J61" t="s">
        <v>378</v>
      </c>
      <c r="K61" t="s">
        <v>74</v>
      </c>
      <c r="L61" t="s">
        <v>74</v>
      </c>
      <c r="M61" t="s">
        <v>77</v>
      </c>
      <c r="N61" t="s">
        <v>78</v>
      </c>
      <c r="O61" t="s">
        <v>74</v>
      </c>
      <c r="P61" t="s">
        <v>74</v>
      </c>
      <c r="Q61" t="s">
        <v>74</v>
      </c>
      <c r="R61" t="s">
        <v>74</v>
      </c>
      <c r="S61" t="s">
        <v>74</v>
      </c>
      <c r="T61" t="s">
        <v>74</v>
      </c>
      <c r="U61" t="s">
        <v>940</v>
      </c>
      <c r="V61" t="s">
        <v>941</v>
      </c>
      <c r="W61" t="s">
        <v>942</v>
      </c>
      <c r="X61" t="s">
        <v>943</v>
      </c>
      <c r="Y61" t="s">
        <v>944</v>
      </c>
      <c r="Z61" t="s">
        <v>74</v>
      </c>
      <c r="AA61" t="s">
        <v>945</v>
      </c>
      <c r="AB61" t="s">
        <v>946</v>
      </c>
      <c r="AC61" t="s">
        <v>74</v>
      </c>
      <c r="AD61" t="s">
        <v>74</v>
      </c>
      <c r="AE61" t="s">
        <v>74</v>
      </c>
      <c r="AF61" t="s">
        <v>74</v>
      </c>
      <c r="AG61">
        <v>18</v>
      </c>
      <c r="AH61">
        <v>16</v>
      </c>
      <c r="AI61">
        <v>17</v>
      </c>
      <c r="AJ61">
        <v>0</v>
      </c>
      <c r="AK61">
        <v>1</v>
      </c>
      <c r="AL61" t="s">
        <v>230</v>
      </c>
      <c r="AM61" t="s">
        <v>231</v>
      </c>
      <c r="AN61" t="s">
        <v>232</v>
      </c>
      <c r="AO61" t="s">
        <v>382</v>
      </c>
      <c r="AP61" t="s">
        <v>74</v>
      </c>
      <c r="AQ61" t="s">
        <v>74</v>
      </c>
      <c r="AR61" t="s">
        <v>383</v>
      </c>
      <c r="AS61" t="s">
        <v>384</v>
      </c>
      <c r="AT61" t="s">
        <v>947</v>
      </c>
      <c r="AU61">
        <v>1999</v>
      </c>
      <c r="AV61">
        <v>26</v>
      </c>
      <c r="AW61">
        <v>21</v>
      </c>
      <c r="AX61" t="s">
        <v>74</v>
      </c>
      <c r="AY61" t="s">
        <v>74</v>
      </c>
      <c r="AZ61" t="s">
        <v>74</v>
      </c>
      <c r="BA61" t="s">
        <v>74</v>
      </c>
      <c r="BB61">
        <v>3293</v>
      </c>
      <c r="BC61">
        <v>3296</v>
      </c>
      <c r="BD61" t="s">
        <v>74</v>
      </c>
      <c r="BE61" t="s">
        <v>948</v>
      </c>
      <c r="BF61" t="str">
        <f>HYPERLINK("http://dx.doi.org/10.1029/1999GL003578","http://dx.doi.org/10.1029/1999GL003578")</f>
        <v>http://dx.doi.org/10.1029/1999GL003578</v>
      </c>
      <c r="BG61" t="s">
        <v>74</v>
      </c>
      <c r="BH61" t="s">
        <v>74</v>
      </c>
      <c r="BI61">
        <v>4</v>
      </c>
      <c r="BJ61" t="s">
        <v>387</v>
      </c>
      <c r="BK61" t="s">
        <v>96</v>
      </c>
      <c r="BL61" t="s">
        <v>388</v>
      </c>
      <c r="BM61" t="s">
        <v>949</v>
      </c>
      <c r="BN61" t="s">
        <v>74</v>
      </c>
      <c r="BO61" t="s">
        <v>250</v>
      </c>
      <c r="BP61" t="s">
        <v>74</v>
      </c>
      <c r="BQ61" t="s">
        <v>74</v>
      </c>
      <c r="BR61" t="s">
        <v>99</v>
      </c>
      <c r="BS61" t="s">
        <v>950</v>
      </c>
      <c r="BT61" t="str">
        <f>HYPERLINK("https%3A%2F%2Fwww.webofscience.com%2Fwos%2Fwoscc%2Ffull-record%2FWOS:000083485500022","View Full Record in Web of Science")</f>
        <v>View Full Record in Web of Science</v>
      </c>
    </row>
    <row r="62" spans="1:72" x14ac:dyDescent="0.15">
      <c r="A62" t="s">
        <v>72</v>
      </c>
      <c r="B62" t="s">
        <v>951</v>
      </c>
      <c r="C62" t="s">
        <v>74</v>
      </c>
      <c r="D62" t="s">
        <v>74</v>
      </c>
      <c r="E62" t="s">
        <v>74</v>
      </c>
      <c r="F62" t="s">
        <v>951</v>
      </c>
      <c r="G62" t="s">
        <v>74</v>
      </c>
      <c r="H62" t="s">
        <v>74</v>
      </c>
      <c r="I62" t="s">
        <v>952</v>
      </c>
      <c r="J62" t="s">
        <v>953</v>
      </c>
      <c r="K62" t="s">
        <v>74</v>
      </c>
      <c r="L62" t="s">
        <v>74</v>
      </c>
      <c r="M62" t="s">
        <v>77</v>
      </c>
      <c r="N62" t="s">
        <v>78</v>
      </c>
      <c r="O62" t="s">
        <v>74</v>
      </c>
      <c r="P62" t="s">
        <v>74</v>
      </c>
      <c r="Q62" t="s">
        <v>74</v>
      </c>
      <c r="R62" t="s">
        <v>74</v>
      </c>
      <c r="S62" t="s">
        <v>74</v>
      </c>
      <c r="T62" t="s">
        <v>74</v>
      </c>
      <c r="U62" t="s">
        <v>74</v>
      </c>
      <c r="V62" t="s">
        <v>954</v>
      </c>
      <c r="W62" t="s">
        <v>955</v>
      </c>
      <c r="X62" t="s">
        <v>956</v>
      </c>
      <c r="Y62" t="s">
        <v>957</v>
      </c>
      <c r="Z62" t="s">
        <v>74</v>
      </c>
      <c r="AA62" t="s">
        <v>74</v>
      </c>
      <c r="AB62" t="s">
        <v>74</v>
      </c>
      <c r="AC62" t="s">
        <v>74</v>
      </c>
      <c r="AD62" t="s">
        <v>74</v>
      </c>
      <c r="AE62" t="s">
        <v>74</v>
      </c>
      <c r="AF62" t="s">
        <v>74</v>
      </c>
      <c r="AG62">
        <v>0</v>
      </c>
      <c r="AH62">
        <v>2</v>
      </c>
      <c r="AI62">
        <v>2</v>
      </c>
      <c r="AJ62">
        <v>0</v>
      </c>
      <c r="AK62">
        <v>4</v>
      </c>
      <c r="AL62" t="s">
        <v>958</v>
      </c>
      <c r="AM62" t="s">
        <v>959</v>
      </c>
      <c r="AN62" t="s">
        <v>960</v>
      </c>
      <c r="AO62" t="s">
        <v>961</v>
      </c>
      <c r="AP62" t="s">
        <v>74</v>
      </c>
      <c r="AQ62" t="s">
        <v>74</v>
      </c>
      <c r="AR62" t="s">
        <v>953</v>
      </c>
      <c r="AS62" t="s">
        <v>962</v>
      </c>
      <c r="AT62" t="s">
        <v>883</v>
      </c>
      <c r="AU62">
        <v>1999</v>
      </c>
      <c r="AV62">
        <v>16</v>
      </c>
      <c r="AW62">
        <v>6</v>
      </c>
      <c r="AX62" t="s">
        <v>74</v>
      </c>
      <c r="AY62" t="s">
        <v>74</v>
      </c>
      <c r="AZ62" t="s">
        <v>74</v>
      </c>
      <c r="BA62" t="s">
        <v>74</v>
      </c>
      <c r="BB62">
        <v>90</v>
      </c>
      <c r="BC62">
        <v>96</v>
      </c>
      <c r="BD62" t="s">
        <v>74</v>
      </c>
      <c r="BE62" t="s">
        <v>963</v>
      </c>
      <c r="BF62" t="str">
        <f>HYPERLINK("http://dx.doi.org/10.1109/52.805480","http://dx.doi.org/10.1109/52.805480")</f>
        <v>http://dx.doi.org/10.1109/52.805480</v>
      </c>
      <c r="BG62" t="s">
        <v>74</v>
      </c>
      <c r="BH62" t="s">
        <v>74</v>
      </c>
      <c r="BI62">
        <v>7</v>
      </c>
      <c r="BJ62" t="s">
        <v>964</v>
      </c>
      <c r="BK62" t="s">
        <v>96</v>
      </c>
      <c r="BL62" t="s">
        <v>965</v>
      </c>
      <c r="BM62" t="s">
        <v>966</v>
      </c>
      <c r="BN62" t="s">
        <v>74</v>
      </c>
      <c r="BO62" t="s">
        <v>74</v>
      </c>
      <c r="BP62" t="s">
        <v>74</v>
      </c>
      <c r="BQ62" t="s">
        <v>74</v>
      </c>
      <c r="BR62" t="s">
        <v>99</v>
      </c>
      <c r="BS62" t="s">
        <v>967</v>
      </c>
      <c r="BT62" t="str">
        <f>HYPERLINK("https%3A%2F%2Fwww.webofscience.com%2Fwos%2Fwoscc%2Ffull-record%2FWOS:000083670300026","View Full Record in Web of Science")</f>
        <v>View Full Record in Web of Science</v>
      </c>
    </row>
    <row r="63" spans="1:72" x14ac:dyDescent="0.15">
      <c r="A63" t="s">
        <v>72</v>
      </c>
      <c r="B63" t="s">
        <v>968</v>
      </c>
      <c r="C63" t="s">
        <v>74</v>
      </c>
      <c r="D63" t="s">
        <v>74</v>
      </c>
      <c r="E63" t="s">
        <v>74</v>
      </c>
      <c r="F63" t="s">
        <v>968</v>
      </c>
      <c r="G63" t="s">
        <v>74</v>
      </c>
      <c r="H63" t="s">
        <v>74</v>
      </c>
      <c r="I63" t="s">
        <v>969</v>
      </c>
      <c r="J63" t="s">
        <v>970</v>
      </c>
      <c r="K63" t="s">
        <v>74</v>
      </c>
      <c r="L63" t="s">
        <v>74</v>
      </c>
      <c r="M63" t="s">
        <v>77</v>
      </c>
      <c r="N63" t="s">
        <v>78</v>
      </c>
      <c r="O63" t="s">
        <v>74</v>
      </c>
      <c r="P63" t="s">
        <v>74</v>
      </c>
      <c r="Q63" t="s">
        <v>74</v>
      </c>
      <c r="R63" t="s">
        <v>74</v>
      </c>
      <c r="S63" t="s">
        <v>74</v>
      </c>
      <c r="T63" t="s">
        <v>971</v>
      </c>
      <c r="U63" t="s">
        <v>972</v>
      </c>
      <c r="V63" t="s">
        <v>973</v>
      </c>
      <c r="W63" t="s">
        <v>974</v>
      </c>
      <c r="X63" t="s">
        <v>975</v>
      </c>
      <c r="Y63" t="s">
        <v>976</v>
      </c>
      <c r="Z63" t="s">
        <v>74</v>
      </c>
      <c r="AA63" t="s">
        <v>74</v>
      </c>
      <c r="AB63" t="s">
        <v>74</v>
      </c>
      <c r="AC63" t="s">
        <v>74</v>
      </c>
      <c r="AD63" t="s">
        <v>74</v>
      </c>
      <c r="AE63" t="s">
        <v>74</v>
      </c>
      <c r="AF63" t="s">
        <v>74</v>
      </c>
      <c r="AG63">
        <v>9</v>
      </c>
      <c r="AH63">
        <v>3</v>
      </c>
      <c r="AI63">
        <v>3</v>
      </c>
      <c r="AJ63">
        <v>0</v>
      </c>
      <c r="AK63">
        <v>2</v>
      </c>
      <c r="AL63" t="s">
        <v>553</v>
      </c>
      <c r="AM63" t="s">
        <v>554</v>
      </c>
      <c r="AN63" t="s">
        <v>555</v>
      </c>
      <c r="AO63" t="s">
        <v>977</v>
      </c>
      <c r="AP63" t="s">
        <v>74</v>
      </c>
      <c r="AQ63" t="s">
        <v>74</v>
      </c>
      <c r="AR63" t="s">
        <v>978</v>
      </c>
      <c r="AS63" t="s">
        <v>979</v>
      </c>
      <c r="AT63" t="s">
        <v>537</v>
      </c>
      <c r="AU63">
        <v>1999</v>
      </c>
      <c r="AV63">
        <v>43</v>
      </c>
      <c r="AW63">
        <v>3</v>
      </c>
      <c r="AX63" t="s">
        <v>74</v>
      </c>
      <c r="AY63" t="s">
        <v>74</v>
      </c>
      <c r="AZ63" t="s">
        <v>74</v>
      </c>
      <c r="BA63" t="s">
        <v>74</v>
      </c>
      <c r="BB63">
        <v>110</v>
      </c>
      <c r="BC63">
        <v>112</v>
      </c>
      <c r="BD63" t="s">
        <v>74</v>
      </c>
      <c r="BE63" t="s">
        <v>980</v>
      </c>
      <c r="BF63" t="str">
        <f>HYPERLINK("http://dx.doi.org/10.1007/s004840050124","http://dx.doi.org/10.1007/s004840050124")</f>
        <v>http://dx.doi.org/10.1007/s004840050124</v>
      </c>
      <c r="BG63" t="s">
        <v>74</v>
      </c>
      <c r="BH63" t="s">
        <v>74</v>
      </c>
      <c r="BI63">
        <v>3</v>
      </c>
      <c r="BJ63" t="s">
        <v>981</v>
      </c>
      <c r="BK63" t="s">
        <v>96</v>
      </c>
      <c r="BL63" t="s">
        <v>982</v>
      </c>
      <c r="BM63" t="s">
        <v>983</v>
      </c>
      <c r="BN63" t="s">
        <v>74</v>
      </c>
      <c r="BO63" t="s">
        <v>74</v>
      </c>
      <c r="BP63" t="s">
        <v>74</v>
      </c>
      <c r="BQ63" t="s">
        <v>74</v>
      </c>
      <c r="BR63" t="s">
        <v>99</v>
      </c>
      <c r="BS63" t="s">
        <v>984</v>
      </c>
      <c r="BT63" t="str">
        <f>HYPERLINK("https%3A%2F%2Fwww.webofscience.com%2Fwos%2Fwoscc%2Ffull-record%2FWOS:000084081100002","View Full Record in Web of Science")</f>
        <v>View Full Record in Web of Science</v>
      </c>
    </row>
    <row r="64" spans="1:72" x14ac:dyDescent="0.15">
      <c r="A64" t="s">
        <v>72</v>
      </c>
      <c r="B64" t="s">
        <v>985</v>
      </c>
      <c r="C64" t="s">
        <v>74</v>
      </c>
      <c r="D64" t="s">
        <v>74</v>
      </c>
      <c r="E64" t="s">
        <v>74</v>
      </c>
      <c r="F64" t="s">
        <v>985</v>
      </c>
      <c r="G64" t="s">
        <v>74</v>
      </c>
      <c r="H64" t="s">
        <v>74</v>
      </c>
      <c r="I64" t="s">
        <v>986</v>
      </c>
      <c r="J64" t="s">
        <v>987</v>
      </c>
      <c r="K64" t="s">
        <v>74</v>
      </c>
      <c r="L64" t="s">
        <v>74</v>
      </c>
      <c r="M64" t="s">
        <v>77</v>
      </c>
      <c r="N64" t="s">
        <v>123</v>
      </c>
      <c r="O64" t="s">
        <v>988</v>
      </c>
      <c r="P64" t="s">
        <v>989</v>
      </c>
      <c r="Q64" t="s">
        <v>990</v>
      </c>
      <c r="R64" t="s">
        <v>74</v>
      </c>
      <c r="S64" t="s">
        <v>74</v>
      </c>
      <c r="T64" t="s">
        <v>74</v>
      </c>
      <c r="U64" t="s">
        <v>991</v>
      </c>
      <c r="V64" t="s">
        <v>992</v>
      </c>
      <c r="W64" t="s">
        <v>993</v>
      </c>
      <c r="X64" t="s">
        <v>994</v>
      </c>
      <c r="Y64" t="s">
        <v>995</v>
      </c>
      <c r="Z64" t="s">
        <v>996</v>
      </c>
      <c r="AA64" t="s">
        <v>74</v>
      </c>
      <c r="AB64" t="s">
        <v>74</v>
      </c>
      <c r="AC64" t="s">
        <v>74</v>
      </c>
      <c r="AD64" t="s">
        <v>74</v>
      </c>
      <c r="AE64" t="s">
        <v>74</v>
      </c>
      <c r="AF64" t="s">
        <v>74</v>
      </c>
      <c r="AG64">
        <v>72</v>
      </c>
      <c r="AH64">
        <v>17</v>
      </c>
      <c r="AI64">
        <v>17</v>
      </c>
      <c r="AJ64">
        <v>1</v>
      </c>
      <c r="AK64">
        <v>10</v>
      </c>
      <c r="AL64" t="s">
        <v>997</v>
      </c>
      <c r="AM64" t="s">
        <v>998</v>
      </c>
      <c r="AN64" t="s">
        <v>999</v>
      </c>
      <c r="AO64" t="s">
        <v>1000</v>
      </c>
      <c r="AP64" t="s">
        <v>1001</v>
      </c>
      <c r="AQ64" t="s">
        <v>74</v>
      </c>
      <c r="AR64" t="s">
        <v>1002</v>
      </c>
      <c r="AS64" t="s">
        <v>1003</v>
      </c>
      <c r="AT64" t="s">
        <v>883</v>
      </c>
      <c r="AU64">
        <v>1999</v>
      </c>
      <c r="AV64">
        <v>75</v>
      </c>
      <c r="AW64" t="s">
        <v>1004</v>
      </c>
      <c r="AX64" t="s">
        <v>74</v>
      </c>
      <c r="AY64" t="s">
        <v>74</v>
      </c>
      <c r="AZ64" t="s">
        <v>74</v>
      </c>
      <c r="BA64" t="s">
        <v>74</v>
      </c>
      <c r="BB64">
        <v>683</v>
      </c>
      <c r="BC64">
        <v>692</v>
      </c>
      <c r="BD64" t="s">
        <v>74</v>
      </c>
      <c r="BE64" t="s">
        <v>1005</v>
      </c>
      <c r="BF64" t="str">
        <f>HYPERLINK("http://dx.doi.org/10.1002/(SICI)1097-461X(1999)75:4/5&lt;683::AID-QUA35&gt;3.0.CO;2-F","http://dx.doi.org/10.1002/(SICI)1097-461X(1999)75:4/5&lt;683::AID-QUA35&gt;3.0.CO;2-F")</f>
        <v>http://dx.doi.org/10.1002/(SICI)1097-461X(1999)75:4/5&lt;683::AID-QUA35&gt;3.0.CO;2-F</v>
      </c>
      <c r="BG64" t="s">
        <v>74</v>
      </c>
      <c r="BH64" t="s">
        <v>74</v>
      </c>
      <c r="BI64">
        <v>10</v>
      </c>
      <c r="BJ64" t="s">
        <v>1006</v>
      </c>
      <c r="BK64" t="s">
        <v>156</v>
      </c>
      <c r="BL64" t="s">
        <v>1007</v>
      </c>
      <c r="BM64" t="s">
        <v>1008</v>
      </c>
      <c r="BN64" t="s">
        <v>74</v>
      </c>
      <c r="BO64" t="s">
        <v>74</v>
      </c>
      <c r="BP64" t="s">
        <v>74</v>
      </c>
      <c r="BQ64" t="s">
        <v>74</v>
      </c>
      <c r="BR64" t="s">
        <v>99</v>
      </c>
      <c r="BS64" t="s">
        <v>1009</v>
      </c>
      <c r="BT64" t="str">
        <f>HYPERLINK("https%3A%2F%2Fwww.webofscience.com%2Fwos%2Fwoscc%2Ffull-record%2FWOS:000083615800034","View Full Record in Web of Science")</f>
        <v>View Full Record in Web of Science</v>
      </c>
    </row>
    <row r="65" spans="1:72" x14ac:dyDescent="0.15">
      <c r="A65" t="s">
        <v>72</v>
      </c>
      <c r="B65" t="s">
        <v>1010</v>
      </c>
      <c r="C65" t="s">
        <v>74</v>
      </c>
      <c r="D65" t="s">
        <v>74</v>
      </c>
      <c r="E65" t="s">
        <v>74</v>
      </c>
      <c r="F65" t="s">
        <v>1010</v>
      </c>
      <c r="G65" t="s">
        <v>74</v>
      </c>
      <c r="H65" t="s">
        <v>74</v>
      </c>
      <c r="I65" t="s">
        <v>1011</v>
      </c>
      <c r="J65" t="s">
        <v>1012</v>
      </c>
      <c r="K65" t="s">
        <v>74</v>
      </c>
      <c r="L65" t="s">
        <v>74</v>
      </c>
      <c r="M65" t="s">
        <v>845</v>
      </c>
      <c r="N65" t="s">
        <v>78</v>
      </c>
      <c r="O65" t="s">
        <v>74</v>
      </c>
      <c r="P65" t="s">
        <v>74</v>
      </c>
      <c r="Q65" t="s">
        <v>74</v>
      </c>
      <c r="R65" t="s">
        <v>74</v>
      </c>
      <c r="S65" t="s">
        <v>74</v>
      </c>
      <c r="T65" t="s">
        <v>74</v>
      </c>
      <c r="U65" t="s">
        <v>1013</v>
      </c>
      <c r="V65" t="s">
        <v>1014</v>
      </c>
      <c r="W65" t="s">
        <v>1015</v>
      </c>
      <c r="X65" t="s">
        <v>994</v>
      </c>
      <c r="Y65" t="s">
        <v>1016</v>
      </c>
      <c r="Z65" t="s">
        <v>74</v>
      </c>
      <c r="AA65" t="s">
        <v>1017</v>
      </c>
      <c r="AB65" t="s">
        <v>1018</v>
      </c>
      <c r="AC65" t="s">
        <v>74</v>
      </c>
      <c r="AD65" t="s">
        <v>74</v>
      </c>
      <c r="AE65" t="s">
        <v>74</v>
      </c>
      <c r="AF65" t="s">
        <v>74</v>
      </c>
      <c r="AG65">
        <v>13</v>
      </c>
      <c r="AH65">
        <v>1</v>
      </c>
      <c r="AI65">
        <v>1</v>
      </c>
      <c r="AJ65">
        <v>0</v>
      </c>
      <c r="AK65">
        <v>0</v>
      </c>
      <c r="AL65" t="s">
        <v>849</v>
      </c>
      <c r="AM65" t="s">
        <v>850</v>
      </c>
      <c r="AN65" t="s">
        <v>851</v>
      </c>
      <c r="AO65" t="s">
        <v>1019</v>
      </c>
      <c r="AP65" t="s">
        <v>74</v>
      </c>
      <c r="AQ65" t="s">
        <v>74</v>
      </c>
      <c r="AR65" t="s">
        <v>1020</v>
      </c>
      <c r="AS65" t="s">
        <v>1021</v>
      </c>
      <c r="AT65" t="s">
        <v>883</v>
      </c>
      <c r="AU65">
        <v>1999</v>
      </c>
      <c r="AV65">
        <v>35</v>
      </c>
      <c r="AW65">
        <v>6</v>
      </c>
      <c r="AX65" t="s">
        <v>74</v>
      </c>
      <c r="AY65" t="s">
        <v>74</v>
      </c>
      <c r="AZ65" t="s">
        <v>74</v>
      </c>
      <c r="BA65" t="s">
        <v>74</v>
      </c>
      <c r="BB65">
        <v>786</v>
      </c>
      <c r="BC65">
        <v>792</v>
      </c>
      <c r="BD65" t="s">
        <v>74</v>
      </c>
      <c r="BE65" t="s">
        <v>74</v>
      </c>
      <c r="BF65" t="s">
        <v>74</v>
      </c>
      <c r="BG65" t="s">
        <v>74</v>
      </c>
      <c r="BH65" t="s">
        <v>74</v>
      </c>
      <c r="BI65">
        <v>7</v>
      </c>
      <c r="BJ65" t="s">
        <v>1022</v>
      </c>
      <c r="BK65" t="s">
        <v>96</v>
      </c>
      <c r="BL65" t="s">
        <v>1022</v>
      </c>
      <c r="BM65" t="s">
        <v>1023</v>
      </c>
      <c r="BN65" t="s">
        <v>74</v>
      </c>
      <c r="BO65" t="s">
        <v>74</v>
      </c>
      <c r="BP65" t="s">
        <v>74</v>
      </c>
      <c r="BQ65" t="s">
        <v>74</v>
      </c>
      <c r="BR65" t="s">
        <v>99</v>
      </c>
      <c r="BS65" t="s">
        <v>1024</v>
      </c>
      <c r="BT65" t="str">
        <f>HYPERLINK("https%3A%2F%2Fwww.webofscience.com%2Fwos%2Fwoscc%2Ffull-record%2FWOS:000084918500007","View Full Record in Web of Science")</f>
        <v>View Full Record in Web of Science</v>
      </c>
    </row>
    <row r="66" spans="1:72" x14ac:dyDescent="0.15">
      <c r="A66" t="s">
        <v>72</v>
      </c>
      <c r="B66" t="s">
        <v>1025</v>
      </c>
      <c r="C66" t="s">
        <v>74</v>
      </c>
      <c r="D66" t="s">
        <v>74</v>
      </c>
      <c r="E66" t="s">
        <v>74</v>
      </c>
      <c r="F66" t="s">
        <v>1025</v>
      </c>
      <c r="G66" t="s">
        <v>74</v>
      </c>
      <c r="H66" t="s">
        <v>74</v>
      </c>
      <c r="I66" t="s">
        <v>1026</v>
      </c>
      <c r="J66" t="s">
        <v>1027</v>
      </c>
      <c r="K66" t="s">
        <v>74</v>
      </c>
      <c r="L66" t="s">
        <v>74</v>
      </c>
      <c r="M66" t="s">
        <v>77</v>
      </c>
      <c r="N66" t="s">
        <v>78</v>
      </c>
      <c r="O66" t="s">
        <v>74</v>
      </c>
      <c r="P66" t="s">
        <v>74</v>
      </c>
      <c r="Q66" t="s">
        <v>74</v>
      </c>
      <c r="R66" t="s">
        <v>74</v>
      </c>
      <c r="S66" t="s">
        <v>74</v>
      </c>
      <c r="T66" t="s">
        <v>1028</v>
      </c>
      <c r="U66" t="s">
        <v>1029</v>
      </c>
      <c r="V66" t="s">
        <v>1030</v>
      </c>
      <c r="W66" t="s">
        <v>1031</v>
      </c>
      <c r="X66" t="s">
        <v>1032</v>
      </c>
      <c r="Y66" t="s">
        <v>1033</v>
      </c>
      <c r="Z66" t="s">
        <v>74</v>
      </c>
      <c r="AA66" t="s">
        <v>1034</v>
      </c>
      <c r="AB66" t="s">
        <v>1035</v>
      </c>
      <c r="AC66" t="s">
        <v>74</v>
      </c>
      <c r="AD66" t="s">
        <v>74</v>
      </c>
      <c r="AE66" t="s">
        <v>74</v>
      </c>
      <c r="AF66" t="s">
        <v>74</v>
      </c>
      <c r="AG66">
        <v>89</v>
      </c>
      <c r="AH66">
        <v>43</v>
      </c>
      <c r="AI66">
        <v>47</v>
      </c>
      <c r="AJ66">
        <v>0</v>
      </c>
      <c r="AK66">
        <v>21</v>
      </c>
      <c r="AL66" t="s">
        <v>997</v>
      </c>
      <c r="AM66" t="s">
        <v>998</v>
      </c>
      <c r="AN66" t="s">
        <v>999</v>
      </c>
      <c r="AO66" t="s">
        <v>1036</v>
      </c>
      <c r="AP66" t="s">
        <v>1037</v>
      </c>
      <c r="AQ66" t="s">
        <v>74</v>
      </c>
      <c r="AR66" t="s">
        <v>1038</v>
      </c>
      <c r="AS66" t="s">
        <v>1039</v>
      </c>
      <c r="AT66" t="s">
        <v>537</v>
      </c>
      <c r="AU66">
        <v>1999</v>
      </c>
      <c r="AV66">
        <v>68</v>
      </c>
      <c r="AW66">
        <v>6</v>
      </c>
      <c r="AX66" t="s">
        <v>74</v>
      </c>
      <c r="AY66" t="s">
        <v>74</v>
      </c>
      <c r="AZ66" t="s">
        <v>74</v>
      </c>
      <c r="BA66" t="s">
        <v>74</v>
      </c>
      <c r="BB66">
        <v>1179</v>
      </c>
      <c r="BC66">
        <v>1192</v>
      </c>
      <c r="BD66" t="s">
        <v>74</v>
      </c>
      <c r="BE66" t="s">
        <v>1040</v>
      </c>
      <c r="BF66" t="str">
        <f>HYPERLINK("http://dx.doi.org/10.1046/j.1365-2656.1999.00361.x","http://dx.doi.org/10.1046/j.1365-2656.1999.00361.x")</f>
        <v>http://dx.doi.org/10.1046/j.1365-2656.1999.00361.x</v>
      </c>
      <c r="BG66" t="s">
        <v>74</v>
      </c>
      <c r="BH66" t="s">
        <v>74</v>
      </c>
      <c r="BI66">
        <v>14</v>
      </c>
      <c r="BJ66" t="s">
        <v>1041</v>
      </c>
      <c r="BK66" t="s">
        <v>96</v>
      </c>
      <c r="BL66" t="s">
        <v>1042</v>
      </c>
      <c r="BM66" t="s">
        <v>1043</v>
      </c>
      <c r="BN66" t="s">
        <v>74</v>
      </c>
      <c r="BO66" t="s">
        <v>250</v>
      </c>
      <c r="BP66" t="s">
        <v>74</v>
      </c>
      <c r="BQ66" t="s">
        <v>74</v>
      </c>
      <c r="BR66" t="s">
        <v>99</v>
      </c>
      <c r="BS66" t="s">
        <v>1044</v>
      </c>
      <c r="BT66" t="str">
        <f>HYPERLINK("https%3A%2F%2Fwww.webofscience.com%2Fwos%2Fwoscc%2Ffull-record%2FWOS:000084218700009","View Full Record in Web of Science")</f>
        <v>View Full Record in Web of Science</v>
      </c>
    </row>
    <row r="67" spans="1:72" x14ac:dyDescent="0.15">
      <c r="A67" t="s">
        <v>72</v>
      </c>
      <c r="B67" t="s">
        <v>1045</v>
      </c>
      <c r="C67" t="s">
        <v>74</v>
      </c>
      <c r="D67" t="s">
        <v>74</v>
      </c>
      <c r="E67" t="s">
        <v>74</v>
      </c>
      <c r="F67" t="s">
        <v>1045</v>
      </c>
      <c r="G67" t="s">
        <v>74</v>
      </c>
      <c r="H67" t="s">
        <v>74</v>
      </c>
      <c r="I67" t="s">
        <v>1046</v>
      </c>
      <c r="J67" t="s">
        <v>1047</v>
      </c>
      <c r="K67" t="s">
        <v>74</v>
      </c>
      <c r="L67" t="s">
        <v>74</v>
      </c>
      <c r="M67" t="s">
        <v>77</v>
      </c>
      <c r="N67" t="s">
        <v>78</v>
      </c>
      <c r="O67" t="s">
        <v>74</v>
      </c>
      <c r="P67" t="s">
        <v>74</v>
      </c>
      <c r="Q67" t="s">
        <v>74</v>
      </c>
      <c r="R67" t="s">
        <v>74</v>
      </c>
      <c r="S67" t="s">
        <v>74</v>
      </c>
      <c r="T67" t="s">
        <v>1048</v>
      </c>
      <c r="U67" t="s">
        <v>1049</v>
      </c>
      <c r="V67" t="s">
        <v>1050</v>
      </c>
      <c r="W67" t="s">
        <v>1051</v>
      </c>
      <c r="X67" t="s">
        <v>1052</v>
      </c>
      <c r="Y67" t="s">
        <v>1053</v>
      </c>
      <c r="Z67" t="s">
        <v>74</v>
      </c>
      <c r="AA67" t="s">
        <v>74</v>
      </c>
      <c r="AB67" t="s">
        <v>74</v>
      </c>
      <c r="AC67" t="s">
        <v>74</v>
      </c>
      <c r="AD67" t="s">
        <v>74</v>
      </c>
      <c r="AE67" t="s">
        <v>74</v>
      </c>
      <c r="AF67" t="s">
        <v>74</v>
      </c>
      <c r="AG67">
        <v>20</v>
      </c>
      <c r="AH67">
        <v>50</v>
      </c>
      <c r="AI67">
        <v>55</v>
      </c>
      <c r="AJ67">
        <v>1</v>
      </c>
      <c r="AK67">
        <v>26</v>
      </c>
      <c r="AL67" t="s">
        <v>863</v>
      </c>
      <c r="AM67" t="s">
        <v>276</v>
      </c>
      <c r="AN67" t="s">
        <v>864</v>
      </c>
      <c r="AO67" t="s">
        <v>1054</v>
      </c>
      <c r="AP67" t="s">
        <v>74</v>
      </c>
      <c r="AQ67" t="s">
        <v>74</v>
      </c>
      <c r="AR67" t="s">
        <v>1055</v>
      </c>
      <c r="AS67" t="s">
        <v>1056</v>
      </c>
      <c r="AT67" t="s">
        <v>537</v>
      </c>
      <c r="AU67">
        <v>1999</v>
      </c>
      <c r="AV67">
        <v>26</v>
      </c>
      <c r="AW67">
        <v>6</v>
      </c>
      <c r="AX67" t="s">
        <v>74</v>
      </c>
      <c r="AY67" t="s">
        <v>74</v>
      </c>
      <c r="AZ67" t="s">
        <v>74</v>
      </c>
      <c r="BA67" t="s">
        <v>74</v>
      </c>
      <c r="BB67">
        <v>1161</v>
      </c>
      <c r="BC67">
        <v>1167</v>
      </c>
      <c r="BD67" t="s">
        <v>74</v>
      </c>
      <c r="BE67" t="s">
        <v>1057</v>
      </c>
      <c r="BF67" t="str">
        <f>HYPERLINK("http://dx.doi.org/10.1046/j.1365-2699.1999.00356.x","http://dx.doi.org/10.1046/j.1365-2699.1999.00356.x")</f>
        <v>http://dx.doi.org/10.1046/j.1365-2699.1999.00356.x</v>
      </c>
      <c r="BG67" t="s">
        <v>74</v>
      </c>
      <c r="BH67" t="s">
        <v>74</v>
      </c>
      <c r="BI67">
        <v>7</v>
      </c>
      <c r="BJ67" t="s">
        <v>1058</v>
      </c>
      <c r="BK67" t="s">
        <v>96</v>
      </c>
      <c r="BL67" t="s">
        <v>597</v>
      </c>
      <c r="BM67" t="s">
        <v>1059</v>
      </c>
      <c r="BN67" t="s">
        <v>74</v>
      </c>
      <c r="BO67" t="s">
        <v>74</v>
      </c>
      <c r="BP67" t="s">
        <v>74</v>
      </c>
      <c r="BQ67" t="s">
        <v>74</v>
      </c>
      <c r="BR67" t="s">
        <v>99</v>
      </c>
      <c r="BS67" t="s">
        <v>1060</v>
      </c>
      <c r="BT67" t="str">
        <f>HYPERLINK("https%3A%2F%2Fwww.webofscience.com%2Fwos%2Fwoscc%2Ffull-record%2FWOS:000085366500003","View Full Record in Web of Science")</f>
        <v>View Full Record in Web of Science</v>
      </c>
    </row>
    <row r="68" spans="1:72" x14ac:dyDescent="0.15">
      <c r="A68" t="s">
        <v>72</v>
      </c>
      <c r="B68" t="s">
        <v>1061</v>
      </c>
      <c r="C68" t="s">
        <v>74</v>
      </c>
      <c r="D68" t="s">
        <v>74</v>
      </c>
      <c r="E68" t="s">
        <v>74</v>
      </c>
      <c r="F68" t="s">
        <v>1061</v>
      </c>
      <c r="G68" t="s">
        <v>74</v>
      </c>
      <c r="H68" t="s">
        <v>74</v>
      </c>
      <c r="I68" t="s">
        <v>1062</v>
      </c>
      <c r="J68" t="s">
        <v>1063</v>
      </c>
      <c r="K68" t="s">
        <v>74</v>
      </c>
      <c r="L68" t="s">
        <v>74</v>
      </c>
      <c r="M68" t="s">
        <v>77</v>
      </c>
      <c r="N68" t="s">
        <v>78</v>
      </c>
      <c r="O68" t="s">
        <v>74</v>
      </c>
      <c r="P68" t="s">
        <v>74</v>
      </c>
      <c r="Q68" t="s">
        <v>74</v>
      </c>
      <c r="R68" t="s">
        <v>74</v>
      </c>
      <c r="S68" t="s">
        <v>74</v>
      </c>
      <c r="T68" t="s">
        <v>74</v>
      </c>
      <c r="U68" t="s">
        <v>1064</v>
      </c>
      <c r="V68" t="s">
        <v>1065</v>
      </c>
      <c r="W68" t="s">
        <v>1066</v>
      </c>
      <c r="X68" t="s">
        <v>1067</v>
      </c>
      <c r="Y68" t="s">
        <v>1068</v>
      </c>
      <c r="Z68" t="s">
        <v>1069</v>
      </c>
      <c r="AA68" t="s">
        <v>74</v>
      </c>
      <c r="AB68" t="s">
        <v>74</v>
      </c>
      <c r="AC68" t="s">
        <v>74</v>
      </c>
      <c r="AD68" t="s">
        <v>74</v>
      </c>
      <c r="AE68" t="s">
        <v>74</v>
      </c>
      <c r="AF68" t="s">
        <v>74</v>
      </c>
      <c r="AG68">
        <v>32</v>
      </c>
      <c r="AH68">
        <v>55</v>
      </c>
      <c r="AI68">
        <v>58</v>
      </c>
      <c r="AJ68">
        <v>0</v>
      </c>
      <c r="AK68">
        <v>6</v>
      </c>
      <c r="AL68" t="s">
        <v>230</v>
      </c>
      <c r="AM68" t="s">
        <v>231</v>
      </c>
      <c r="AN68" t="s">
        <v>232</v>
      </c>
      <c r="AO68" t="s">
        <v>1070</v>
      </c>
      <c r="AP68" t="s">
        <v>1071</v>
      </c>
      <c r="AQ68" t="s">
        <v>74</v>
      </c>
      <c r="AR68" t="s">
        <v>1072</v>
      </c>
      <c r="AS68" t="s">
        <v>1073</v>
      </c>
      <c r="AT68" t="s">
        <v>947</v>
      </c>
      <c r="AU68">
        <v>1999</v>
      </c>
      <c r="AV68">
        <v>104</v>
      </c>
      <c r="AW68" t="s">
        <v>1074</v>
      </c>
      <c r="AX68" t="s">
        <v>74</v>
      </c>
      <c r="AY68" t="s">
        <v>74</v>
      </c>
      <c r="AZ68" t="s">
        <v>74</v>
      </c>
      <c r="BA68" t="s">
        <v>74</v>
      </c>
      <c r="BB68">
        <v>24603</v>
      </c>
      <c r="BC68">
        <v>24612</v>
      </c>
      <c r="BD68" t="s">
        <v>74</v>
      </c>
      <c r="BE68" t="s">
        <v>1075</v>
      </c>
      <c r="BF68" t="str">
        <f>HYPERLINK("http://dx.doi.org/10.1029/1999JA900249","http://dx.doi.org/10.1029/1999JA900249")</f>
        <v>http://dx.doi.org/10.1029/1999JA900249</v>
      </c>
      <c r="BG68" t="s">
        <v>74</v>
      </c>
      <c r="BH68" t="s">
        <v>74</v>
      </c>
      <c r="BI68">
        <v>10</v>
      </c>
      <c r="BJ68" t="s">
        <v>1076</v>
      </c>
      <c r="BK68" t="s">
        <v>96</v>
      </c>
      <c r="BL68" t="s">
        <v>1076</v>
      </c>
      <c r="BM68" t="s">
        <v>1077</v>
      </c>
      <c r="BN68" t="s">
        <v>74</v>
      </c>
      <c r="BO68" t="s">
        <v>74</v>
      </c>
      <c r="BP68" t="s">
        <v>74</v>
      </c>
      <c r="BQ68" t="s">
        <v>74</v>
      </c>
      <c r="BR68" t="s">
        <v>99</v>
      </c>
      <c r="BS68" t="s">
        <v>1078</v>
      </c>
      <c r="BT68" t="str">
        <f>HYPERLINK("https%3A%2F%2Fwww.webofscience.com%2Fwos%2Fwoscc%2Ffull-record%2FWOS:000083414700003","View Full Record in Web of Science")</f>
        <v>View Full Record in Web of Science</v>
      </c>
    </row>
    <row r="69" spans="1:72" x14ac:dyDescent="0.15">
      <c r="A69" t="s">
        <v>72</v>
      </c>
      <c r="B69" t="s">
        <v>1079</v>
      </c>
      <c r="C69" t="s">
        <v>74</v>
      </c>
      <c r="D69" t="s">
        <v>74</v>
      </c>
      <c r="E69" t="s">
        <v>74</v>
      </c>
      <c r="F69" t="s">
        <v>1079</v>
      </c>
      <c r="G69" t="s">
        <v>74</v>
      </c>
      <c r="H69" t="s">
        <v>74</v>
      </c>
      <c r="I69" t="s">
        <v>1080</v>
      </c>
      <c r="J69" t="s">
        <v>1081</v>
      </c>
      <c r="K69" t="s">
        <v>74</v>
      </c>
      <c r="L69" t="s">
        <v>74</v>
      </c>
      <c r="M69" t="s">
        <v>77</v>
      </c>
      <c r="N69" t="s">
        <v>78</v>
      </c>
      <c r="O69" t="s">
        <v>74</v>
      </c>
      <c r="P69" t="s">
        <v>74</v>
      </c>
      <c r="Q69" t="s">
        <v>74</v>
      </c>
      <c r="R69" t="s">
        <v>74</v>
      </c>
      <c r="S69" t="s">
        <v>74</v>
      </c>
      <c r="T69" t="s">
        <v>1082</v>
      </c>
      <c r="U69" t="s">
        <v>1083</v>
      </c>
      <c r="V69" t="s">
        <v>1084</v>
      </c>
      <c r="W69" t="s">
        <v>1085</v>
      </c>
      <c r="X69" t="s">
        <v>1086</v>
      </c>
      <c r="Y69" t="s">
        <v>1087</v>
      </c>
      <c r="Z69" t="s">
        <v>74</v>
      </c>
      <c r="AA69" t="s">
        <v>1088</v>
      </c>
      <c r="AB69" t="s">
        <v>1089</v>
      </c>
      <c r="AC69" t="s">
        <v>74</v>
      </c>
      <c r="AD69" t="s">
        <v>74</v>
      </c>
      <c r="AE69" t="s">
        <v>74</v>
      </c>
      <c r="AF69" t="s">
        <v>74</v>
      </c>
      <c r="AG69">
        <v>62</v>
      </c>
      <c r="AH69">
        <v>406</v>
      </c>
      <c r="AI69">
        <v>449</v>
      </c>
      <c r="AJ69">
        <v>6</v>
      </c>
      <c r="AK69">
        <v>63</v>
      </c>
      <c r="AL69" t="s">
        <v>1090</v>
      </c>
      <c r="AM69" t="s">
        <v>276</v>
      </c>
      <c r="AN69" t="s">
        <v>1091</v>
      </c>
      <c r="AO69" t="s">
        <v>1092</v>
      </c>
      <c r="AP69" t="s">
        <v>74</v>
      </c>
      <c r="AQ69" t="s">
        <v>74</v>
      </c>
      <c r="AR69" t="s">
        <v>1093</v>
      </c>
      <c r="AS69" t="s">
        <v>1094</v>
      </c>
      <c r="AT69" t="s">
        <v>537</v>
      </c>
      <c r="AU69">
        <v>1999</v>
      </c>
      <c r="AV69">
        <v>40</v>
      </c>
      <c r="AW69">
        <v>11</v>
      </c>
      <c r="AX69" t="s">
        <v>74</v>
      </c>
      <c r="AY69" t="s">
        <v>74</v>
      </c>
      <c r="AZ69" t="s">
        <v>74</v>
      </c>
      <c r="BA69" t="s">
        <v>74</v>
      </c>
      <c r="BB69">
        <v>1579</v>
      </c>
      <c r="BC69">
        <v>1611</v>
      </c>
      <c r="BD69" t="s">
        <v>74</v>
      </c>
      <c r="BE69" t="s">
        <v>1095</v>
      </c>
      <c r="BF69" t="str">
        <f>HYPERLINK("http://dx.doi.org/10.1093/petrology/40.11.1579","http://dx.doi.org/10.1093/petrology/40.11.1579")</f>
        <v>http://dx.doi.org/10.1093/petrology/40.11.1579</v>
      </c>
      <c r="BG69" t="s">
        <v>74</v>
      </c>
      <c r="BH69" t="s">
        <v>74</v>
      </c>
      <c r="BI69">
        <v>33</v>
      </c>
      <c r="BJ69" t="s">
        <v>216</v>
      </c>
      <c r="BK69" t="s">
        <v>96</v>
      </c>
      <c r="BL69" t="s">
        <v>216</v>
      </c>
      <c r="BM69" t="s">
        <v>1096</v>
      </c>
      <c r="BN69" t="s">
        <v>74</v>
      </c>
      <c r="BO69" t="s">
        <v>250</v>
      </c>
      <c r="BP69" t="s">
        <v>74</v>
      </c>
      <c r="BQ69" t="s">
        <v>74</v>
      </c>
      <c r="BR69" t="s">
        <v>99</v>
      </c>
      <c r="BS69" t="s">
        <v>1097</v>
      </c>
      <c r="BT69" t="str">
        <f>HYPERLINK("https%3A%2F%2Fwww.webofscience.com%2Fwos%2Fwoscc%2Ffull-record%2FWOS:000083331100001","View Full Record in Web of Science")</f>
        <v>View Full Record in Web of Science</v>
      </c>
    </row>
    <row r="70" spans="1:72" x14ac:dyDescent="0.15">
      <c r="A70" t="s">
        <v>72</v>
      </c>
      <c r="B70" t="s">
        <v>1098</v>
      </c>
      <c r="C70" t="s">
        <v>74</v>
      </c>
      <c r="D70" t="s">
        <v>74</v>
      </c>
      <c r="E70" t="s">
        <v>74</v>
      </c>
      <c r="F70" t="s">
        <v>1098</v>
      </c>
      <c r="G70" t="s">
        <v>74</v>
      </c>
      <c r="H70" t="s">
        <v>74</v>
      </c>
      <c r="I70" t="s">
        <v>1099</v>
      </c>
      <c r="J70" t="s">
        <v>1100</v>
      </c>
      <c r="K70" t="s">
        <v>74</v>
      </c>
      <c r="L70" t="s">
        <v>74</v>
      </c>
      <c r="M70" t="s">
        <v>77</v>
      </c>
      <c r="N70" t="s">
        <v>78</v>
      </c>
      <c r="O70" t="s">
        <v>74</v>
      </c>
      <c r="P70" t="s">
        <v>74</v>
      </c>
      <c r="Q70" t="s">
        <v>74</v>
      </c>
      <c r="R70" t="s">
        <v>74</v>
      </c>
      <c r="S70" t="s">
        <v>74</v>
      </c>
      <c r="T70" t="s">
        <v>74</v>
      </c>
      <c r="U70" t="s">
        <v>1101</v>
      </c>
      <c r="V70" t="s">
        <v>1102</v>
      </c>
      <c r="W70" t="s">
        <v>1103</v>
      </c>
      <c r="X70" t="s">
        <v>1104</v>
      </c>
      <c r="Y70" t="s">
        <v>1105</v>
      </c>
      <c r="Z70" t="s">
        <v>74</v>
      </c>
      <c r="AA70" t="s">
        <v>74</v>
      </c>
      <c r="AB70" t="s">
        <v>74</v>
      </c>
      <c r="AC70" t="s">
        <v>74</v>
      </c>
      <c r="AD70" t="s">
        <v>74</v>
      </c>
      <c r="AE70" t="s">
        <v>74</v>
      </c>
      <c r="AF70" t="s">
        <v>74</v>
      </c>
      <c r="AG70">
        <v>37</v>
      </c>
      <c r="AH70">
        <v>48</v>
      </c>
      <c r="AI70">
        <v>49</v>
      </c>
      <c r="AJ70">
        <v>0</v>
      </c>
      <c r="AK70">
        <v>4</v>
      </c>
      <c r="AL70" t="s">
        <v>86</v>
      </c>
      <c r="AM70" t="s">
        <v>87</v>
      </c>
      <c r="AN70" t="s">
        <v>88</v>
      </c>
      <c r="AO70" t="s">
        <v>1106</v>
      </c>
      <c r="AP70" t="s">
        <v>74</v>
      </c>
      <c r="AQ70" t="s">
        <v>74</v>
      </c>
      <c r="AR70" t="s">
        <v>1107</v>
      </c>
      <c r="AS70" t="s">
        <v>1108</v>
      </c>
      <c r="AT70" t="s">
        <v>537</v>
      </c>
      <c r="AU70">
        <v>1999</v>
      </c>
      <c r="AV70">
        <v>29</v>
      </c>
      <c r="AW70">
        <v>11</v>
      </c>
      <c r="AX70" t="s">
        <v>74</v>
      </c>
      <c r="AY70" t="s">
        <v>74</v>
      </c>
      <c r="AZ70" t="s">
        <v>74</v>
      </c>
      <c r="BA70" t="s">
        <v>74</v>
      </c>
      <c r="BB70">
        <v>2785</v>
      </c>
      <c r="BC70">
        <v>2801</v>
      </c>
      <c r="BD70" t="s">
        <v>74</v>
      </c>
      <c r="BE70" t="s">
        <v>1109</v>
      </c>
      <c r="BF70" t="str">
        <f>HYPERLINK("http://dx.doi.org/10.1175/1520-0485(1999)029&lt;2785:ABWFTT&gt;2.0.CO;2","http://dx.doi.org/10.1175/1520-0485(1999)029&lt;2785:ABWFTT&gt;2.0.CO;2")</f>
        <v>http://dx.doi.org/10.1175/1520-0485(1999)029&lt;2785:ABWFTT&gt;2.0.CO;2</v>
      </c>
      <c r="BG70" t="s">
        <v>74</v>
      </c>
      <c r="BH70" t="s">
        <v>74</v>
      </c>
      <c r="BI70">
        <v>17</v>
      </c>
      <c r="BJ70" t="s">
        <v>416</v>
      </c>
      <c r="BK70" t="s">
        <v>96</v>
      </c>
      <c r="BL70" t="s">
        <v>416</v>
      </c>
      <c r="BM70" t="s">
        <v>1110</v>
      </c>
      <c r="BN70" t="s">
        <v>74</v>
      </c>
      <c r="BO70" t="s">
        <v>250</v>
      </c>
      <c r="BP70" t="s">
        <v>74</v>
      </c>
      <c r="BQ70" t="s">
        <v>74</v>
      </c>
      <c r="BR70" t="s">
        <v>99</v>
      </c>
      <c r="BS70" t="s">
        <v>1111</v>
      </c>
      <c r="BT70" t="str">
        <f>HYPERLINK("https%3A%2F%2Fwww.webofscience.com%2Fwos%2Fwoscc%2Ffull-record%2FWOS:000083868500003","View Full Record in Web of Science")</f>
        <v>View Full Record in Web of Science</v>
      </c>
    </row>
    <row r="71" spans="1:72" x14ac:dyDescent="0.15">
      <c r="A71" t="s">
        <v>72</v>
      </c>
      <c r="B71" t="s">
        <v>1112</v>
      </c>
      <c r="C71" t="s">
        <v>74</v>
      </c>
      <c r="D71" t="s">
        <v>74</v>
      </c>
      <c r="E71" t="s">
        <v>74</v>
      </c>
      <c r="F71" t="s">
        <v>1112</v>
      </c>
      <c r="G71" t="s">
        <v>74</v>
      </c>
      <c r="H71" t="s">
        <v>74</v>
      </c>
      <c r="I71" t="s">
        <v>1113</v>
      </c>
      <c r="J71" t="s">
        <v>1100</v>
      </c>
      <c r="K71" t="s">
        <v>74</v>
      </c>
      <c r="L71" t="s">
        <v>74</v>
      </c>
      <c r="M71" t="s">
        <v>77</v>
      </c>
      <c r="N71" t="s">
        <v>78</v>
      </c>
      <c r="O71" t="s">
        <v>74</v>
      </c>
      <c r="P71" t="s">
        <v>74</v>
      </c>
      <c r="Q71" t="s">
        <v>74</v>
      </c>
      <c r="R71" t="s">
        <v>74</v>
      </c>
      <c r="S71" t="s">
        <v>74</v>
      </c>
      <c r="T71" t="s">
        <v>74</v>
      </c>
      <c r="U71" t="s">
        <v>1114</v>
      </c>
      <c r="V71" t="s">
        <v>1115</v>
      </c>
      <c r="W71" t="s">
        <v>1116</v>
      </c>
      <c r="X71" t="s">
        <v>1117</v>
      </c>
      <c r="Y71" t="s">
        <v>1118</v>
      </c>
      <c r="Z71" t="s">
        <v>74</v>
      </c>
      <c r="AA71" t="s">
        <v>74</v>
      </c>
      <c r="AB71" t="s">
        <v>74</v>
      </c>
      <c r="AC71" t="s">
        <v>74</v>
      </c>
      <c r="AD71" t="s">
        <v>74</v>
      </c>
      <c r="AE71" t="s">
        <v>74</v>
      </c>
      <c r="AF71" t="s">
        <v>74</v>
      </c>
      <c r="AG71">
        <v>28</v>
      </c>
      <c r="AH71">
        <v>6</v>
      </c>
      <c r="AI71">
        <v>7</v>
      </c>
      <c r="AJ71">
        <v>0</v>
      </c>
      <c r="AK71">
        <v>1</v>
      </c>
      <c r="AL71" t="s">
        <v>86</v>
      </c>
      <c r="AM71" t="s">
        <v>87</v>
      </c>
      <c r="AN71" t="s">
        <v>88</v>
      </c>
      <c r="AO71" t="s">
        <v>1106</v>
      </c>
      <c r="AP71" t="s">
        <v>74</v>
      </c>
      <c r="AQ71" t="s">
        <v>74</v>
      </c>
      <c r="AR71" t="s">
        <v>1107</v>
      </c>
      <c r="AS71" t="s">
        <v>1108</v>
      </c>
      <c r="AT71" t="s">
        <v>537</v>
      </c>
      <c r="AU71">
        <v>1999</v>
      </c>
      <c r="AV71">
        <v>29</v>
      </c>
      <c r="AW71">
        <v>11</v>
      </c>
      <c r="AX71" t="s">
        <v>74</v>
      </c>
      <c r="AY71" t="s">
        <v>74</v>
      </c>
      <c r="AZ71" t="s">
        <v>74</v>
      </c>
      <c r="BA71" t="s">
        <v>74</v>
      </c>
      <c r="BB71">
        <v>2851</v>
      </c>
      <c r="BC71">
        <v>2871</v>
      </c>
      <c r="BD71" t="s">
        <v>74</v>
      </c>
      <c r="BE71" t="s">
        <v>1119</v>
      </c>
      <c r="BF71" t="str">
        <f>HYPERLINK("http://dx.doi.org/10.1175/1520-0485(1999)029&lt;2851:IOTOTM&gt;2.0.CO;2","http://dx.doi.org/10.1175/1520-0485(1999)029&lt;2851:IOTOTM&gt;2.0.CO;2")</f>
        <v>http://dx.doi.org/10.1175/1520-0485(1999)029&lt;2851:IOTOTM&gt;2.0.CO;2</v>
      </c>
      <c r="BG71" t="s">
        <v>74</v>
      </c>
      <c r="BH71" t="s">
        <v>74</v>
      </c>
      <c r="BI71">
        <v>21</v>
      </c>
      <c r="BJ71" t="s">
        <v>416</v>
      </c>
      <c r="BK71" t="s">
        <v>96</v>
      </c>
      <c r="BL71" t="s">
        <v>416</v>
      </c>
      <c r="BM71" t="s">
        <v>1110</v>
      </c>
      <c r="BN71" t="s">
        <v>74</v>
      </c>
      <c r="BO71" t="s">
        <v>98</v>
      </c>
      <c r="BP71" t="s">
        <v>74</v>
      </c>
      <c r="BQ71" t="s">
        <v>74</v>
      </c>
      <c r="BR71" t="s">
        <v>99</v>
      </c>
      <c r="BS71" t="s">
        <v>1120</v>
      </c>
      <c r="BT71" t="str">
        <f>HYPERLINK("https%3A%2F%2Fwww.webofscience.com%2Fwos%2Fwoscc%2Ffull-record%2FWOS:000083868500006","View Full Record in Web of Science")</f>
        <v>View Full Record in Web of Science</v>
      </c>
    </row>
    <row r="72" spans="1:72" x14ac:dyDescent="0.15">
      <c r="A72" t="s">
        <v>72</v>
      </c>
      <c r="B72" t="s">
        <v>1121</v>
      </c>
      <c r="C72" t="s">
        <v>74</v>
      </c>
      <c r="D72" t="s">
        <v>74</v>
      </c>
      <c r="E72" t="s">
        <v>74</v>
      </c>
      <c r="F72" t="s">
        <v>1121</v>
      </c>
      <c r="G72" t="s">
        <v>74</v>
      </c>
      <c r="H72" t="s">
        <v>74</v>
      </c>
      <c r="I72" t="s">
        <v>1122</v>
      </c>
      <c r="J72" t="s">
        <v>1123</v>
      </c>
      <c r="K72" t="s">
        <v>74</v>
      </c>
      <c r="L72" t="s">
        <v>74</v>
      </c>
      <c r="M72" t="s">
        <v>77</v>
      </c>
      <c r="N72" t="s">
        <v>78</v>
      </c>
      <c r="O72" t="s">
        <v>74</v>
      </c>
      <c r="P72" t="s">
        <v>74</v>
      </c>
      <c r="Q72" t="s">
        <v>74</v>
      </c>
      <c r="R72" t="s">
        <v>74</v>
      </c>
      <c r="S72" t="s">
        <v>74</v>
      </c>
      <c r="T72" t="s">
        <v>74</v>
      </c>
      <c r="U72" t="s">
        <v>1124</v>
      </c>
      <c r="V72" t="s">
        <v>1125</v>
      </c>
      <c r="W72" t="s">
        <v>1126</v>
      </c>
      <c r="X72" t="s">
        <v>1127</v>
      </c>
      <c r="Y72" t="s">
        <v>1128</v>
      </c>
      <c r="Z72" t="s">
        <v>74</v>
      </c>
      <c r="AA72" t="s">
        <v>1129</v>
      </c>
      <c r="AB72" t="s">
        <v>1130</v>
      </c>
      <c r="AC72" t="s">
        <v>74</v>
      </c>
      <c r="AD72" t="s">
        <v>74</v>
      </c>
      <c r="AE72" t="s">
        <v>74</v>
      </c>
      <c r="AF72" t="s">
        <v>74</v>
      </c>
      <c r="AG72">
        <v>43</v>
      </c>
      <c r="AH72">
        <v>23</v>
      </c>
      <c r="AI72">
        <v>25</v>
      </c>
      <c r="AJ72">
        <v>0</v>
      </c>
      <c r="AK72">
        <v>3</v>
      </c>
      <c r="AL72" t="s">
        <v>1090</v>
      </c>
      <c r="AM72" t="s">
        <v>276</v>
      </c>
      <c r="AN72" t="s">
        <v>1091</v>
      </c>
      <c r="AO72" t="s">
        <v>1131</v>
      </c>
      <c r="AP72" t="s">
        <v>1132</v>
      </c>
      <c r="AQ72" t="s">
        <v>74</v>
      </c>
      <c r="AR72" t="s">
        <v>1133</v>
      </c>
      <c r="AS72" t="s">
        <v>1134</v>
      </c>
      <c r="AT72" t="s">
        <v>537</v>
      </c>
      <c r="AU72">
        <v>1999</v>
      </c>
      <c r="AV72">
        <v>21</v>
      </c>
      <c r="AW72">
        <v>11</v>
      </c>
      <c r="AX72" t="s">
        <v>74</v>
      </c>
      <c r="AY72" t="s">
        <v>74</v>
      </c>
      <c r="AZ72" t="s">
        <v>74</v>
      </c>
      <c r="BA72" t="s">
        <v>74</v>
      </c>
      <c r="BB72">
        <v>2019</v>
      </c>
      <c r="BC72">
        <v>2035</v>
      </c>
      <c r="BD72" t="s">
        <v>74</v>
      </c>
      <c r="BE72" t="s">
        <v>1135</v>
      </c>
      <c r="BF72" t="str">
        <f>HYPERLINK("http://dx.doi.org/10.1093/plankt/21.11.2019","http://dx.doi.org/10.1093/plankt/21.11.2019")</f>
        <v>http://dx.doi.org/10.1093/plankt/21.11.2019</v>
      </c>
      <c r="BG72" t="s">
        <v>74</v>
      </c>
      <c r="BH72" t="s">
        <v>74</v>
      </c>
      <c r="BI72">
        <v>17</v>
      </c>
      <c r="BJ72" t="s">
        <v>1136</v>
      </c>
      <c r="BK72" t="s">
        <v>96</v>
      </c>
      <c r="BL72" t="s">
        <v>1136</v>
      </c>
      <c r="BM72" t="s">
        <v>1137</v>
      </c>
      <c r="BN72" t="s">
        <v>74</v>
      </c>
      <c r="BO72" t="s">
        <v>250</v>
      </c>
      <c r="BP72" t="s">
        <v>74</v>
      </c>
      <c r="BQ72" t="s">
        <v>74</v>
      </c>
      <c r="BR72" t="s">
        <v>99</v>
      </c>
      <c r="BS72" t="s">
        <v>1138</v>
      </c>
      <c r="BT72" t="str">
        <f>HYPERLINK("https%3A%2F%2Fwww.webofscience.com%2Fwos%2Fwoscc%2Ffull-record%2FWOS:000083781400001","View Full Record in Web of Science")</f>
        <v>View Full Record in Web of Science</v>
      </c>
    </row>
    <row r="73" spans="1:72" x14ac:dyDescent="0.15">
      <c r="A73" t="s">
        <v>72</v>
      </c>
      <c r="B73" t="s">
        <v>1139</v>
      </c>
      <c r="C73" t="s">
        <v>74</v>
      </c>
      <c r="D73" t="s">
        <v>74</v>
      </c>
      <c r="E73" t="s">
        <v>74</v>
      </c>
      <c r="F73" t="s">
        <v>1139</v>
      </c>
      <c r="G73" t="s">
        <v>74</v>
      </c>
      <c r="H73" t="s">
        <v>74</v>
      </c>
      <c r="I73" t="s">
        <v>1140</v>
      </c>
      <c r="J73" t="s">
        <v>1141</v>
      </c>
      <c r="K73" t="s">
        <v>74</v>
      </c>
      <c r="L73" t="s">
        <v>74</v>
      </c>
      <c r="M73" t="s">
        <v>77</v>
      </c>
      <c r="N73" t="s">
        <v>78</v>
      </c>
      <c r="O73" t="s">
        <v>74</v>
      </c>
      <c r="P73" t="s">
        <v>74</v>
      </c>
      <c r="Q73" t="s">
        <v>74</v>
      </c>
      <c r="R73" t="s">
        <v>74</v>
      </c>
      <c r="S73" t="s">
        <v>74</v>
      </c>
      <c r="T73" t="s">
        <v>74</v>
      </c>
      <c r="U73" t="s">
        <v>1142</v>
      </c>
      <c r="V73" t="s">
        <v>1143</v>
      </c>
      <c r="W73" t="s">
        <v>1144</v>
      </c>
      <c r="X73" t="s">
        <v>1145</v>
      </c>
      <c r="Y73" t="s">
        <v>1146</v>
      </c>
      <c r="Z73" t="s">
        <v>1147</v>
      </c>
      <c r="AA73" t="s">
        <v>1148</v>
      </c>
      <c r="AB73" t="s">
        <v>1149</v>
      </c>
      <c r="AC73" t="s">
        <v>74</v>
      </c>
      <c r="AD73" t="s">
        <v>74</v>
      </c>
      <c r="AE73" t="s">
        <v>74</v>
      </c>
      <c r="AF73" t="s">
        <v>74</v>
      </c>
      <c r="AG73">
        <v>69</v>
      </c>
      <c r="AH73">
        <v>47</v>
      </c>
      <c r="AI73">
        <v>49</v>
      </c>
      <c r="AJ73">
        <v>1</v>
      </c>
      <c r="AK73">
        <v>11</v>
      </c>
      <c r="AL73" t="s">
        <v>1150</v>
      </c>
      <c r="AM73" t="s">
        <v>1151</v>
      </c>
      <c r="AN73" t="s">
        <v>1152</v>
      </c>
      <c r="AO73" t="s">
        <v>1153</v>
      </c>
      <c r="AP73" t="s">
        <v>1154</v>
      </c>
      <c r="AQ73" t="s">
        <v>74</v>
      </c>
      <c r="AR73" t="s">
        <v>1155</v>
      </c>
      <c r="AS73" t="s">
        <v>1156</v>
      </c>
      <c r="AT73" t="s">
        <v>537</v>
      </c>
      <c r="AU73">
        <v>1999</v>
      </c>
      <c r="AV73">
        <v>69</v>
      </c>
      <c r="AW73">
        <v>6</v>
      </c>
      <c r="AX73" t="s">
        <v>1157</v>
      </c>
      <c r="AY73" t="s">
        <v>74</v>
      </c>
      <c r="AZ73" t="s">
        <v>74</v>
      </c>
      <c r="BA73" t="s">
        <v>74</v>
      </c>
      <c r="BB73">
        <v>1276</v>
      </c>
      <c r="BC73">
        <v>1289</v>
      </c>
      <c r="BD73" t="s">
        <v>74</v>
      </c>
      <c r="BE73" t="s">
        <v>1158</v>
      </c>
      <c r="BF73" t="str">
        <f>HYPERLINK("http://dx.doi.org/10.2110/jsr.69.1276","http://dx.doi.org/10.2110/jsr.69.1276")</f>
        <v>http://dx.doi.org/10.2110/jsr.69.1276</v>
      </c>
      <c r="BG73" t="s">
        <v>74</v>
      </c>
      <c r="BH73" t="s">
        <v>74</v>
      </c>
      <c r="BI73">
        <v>14</v>
      </c>
      <c r="BJ73" t="s">
        <v>388</v>
      </c>
      <c r="BK73" t="s">
        <v>96</v>
      </c>
      <c r="BL73" t="s">
        <v>388</v>
      </c>
      <c r="BM73" t="s">
        <v>1159</v>
      </c>
      <c r="BN73" t="s">
        <v>74</v>
      </c>
      <c r="BO73" t="s">
        <v>74</v>
      </c>
      <c r="BP73" t="s">
        <v>74</v>
      </c>
      <c r="BQ73" t="s">
        <v>74</v>
      </c>
      <c r="BR73" t="s">
        <v>99</v>
      </c>
      <c r="BS73" t="s">
        <v>1160</v>
      </c>
      <c r="BT73" t="str">
        <f>HYPERLINK("https%3A%2F%2Fwww.webofscience.com%2Fwos%2Fwoscc%2Ffull-record%2FWOS:000083782600011","View Full Record in Web of Science")</f>
        <v>View Full Record in Web of Science</v>
      </c>
    </row>
    <row r="74" spans="1:72" x14ac:dyDescent="0.15">
      <c r="A74" t="s">
        <v>72</v>
      </c>
      <c r="B74" t="s">
        <v>1161</v>
      </c>
      <c r="C74" t="s">
        <v>74</v>
      </c>
      <c r="D74" t="s">
        <v>74</v>
      </c>
      <c r="E74" t="s">
        <v>74</v>
      </c>
      <c r="F74" t="s">
        <v>1161</v>
      </c>
      <c r="G74" t="s">
        <v>74</v>
      </c>
      <c r="H74" t="s">
        <v>74</v>
      </c>
      <c r="I74" t="s">
        <v>1162</v>
      </c>
      <c r="J74" t="s">
        <v>1163</v>
      </c>
      <c r="K74" t="s">
        <v>74</v>
      </c>
      <c r="L74" t="s">
        <v>74</v>
      </c>
      <c r="M74" t="s">
        <v>77</v>
      </c>
      <c r="N74" t="s">
        <v>123</v>
      </c>
      <c r="O74" t="s">
        <v>1164</v>
      </c>
      <c r="P74" t="s">
        <v>1165</v>
      </c>
      <c r="Q74" t="s">
        <v>1166</v>
      </c>
      <c r="R74" t="s">
        <v>74</v>
      </c>
      <c r="S74" t="s">
        <v>1167</v>
      </c>
      <c r="T74" t="s">
        <v>1168</v>
      </c>
      <c r="U74" t="s">
        <v>1169</v>
      </c>
      <c r="V74" t="s">
        <v>1170</v>
      </c>
      <c r="W74" t="s">
        <v>1171</v>
      </c>
      <c r="X74" t="s">
        <v>1172</v>
      </c>
      <c r="Y74" t="s">
        <v>1173</v>
      </c>
      <c r="Z74" t="s">
        <v>74</v>
      </c>
      <c r="AA74" t="s">
        <v>1174</v>
      </c>
      <c r="AB74" t="s">
        <v>74</v>
      </c>
      <c r="AC74" t="s">
        <v>74</v>
      </c>
      <c r="AD74" t="s">
        <v>74</v>
      </c>
      <c r="AE74" t="s">
        <v>74</v>
      </c>
      <c r="AF74" t="s">
        <v>74</v>
      </c>
      <c r="AG74">
        <v>49</v>
      </c>
      <c r="AH74">
        <v>53</v>
      </c>
      <c r="AI74">
        <v>53</v>
      </c>
      <c r="AJ74">
        <v>0</v>
      </c>
      <c r="AK74">
        <v>1</v>
      </c>
      <c r="AL74" t="s">
        <v>1175</v>
      </c>
      <c r="AM74" t="s">
        <v>1176</v>
      </c>
      <c r="AN74" t="s">
        <v>1177</v>
      </c>
      <c r="AO74" t="s">
        <v>1178</v>
      </c>
      <c r="AP74" t="s">
        <v>74</v>
      </c>
      <c r="AQ74" t="s">
        <v>74</v>
      </c>
      <c r="AR74" t="s">
        <v>1179</v>
      </c>
      <c r="AS74" t="s">
        <v>1180</v>
      </c>
      <c r="AT74" t="s">
        <v>537</v>
      </c>
      <c r="AU74">
        <v>1999</v>
      </c>
      <c r="AV74">
        <v>156</v>
      </c>
      <c r="AW74" t="s">
        <v>74</v>
      </c>
      <c r="AX74">
        <v>6</v>
      </c>
      <c r="AY74" t="s">
        <v>74</v>
      </c>
      <c r="AZ74" t="s">
        <v>74</v>
      </c>
      <c r="BA74" t="s">
        <v>74</v>
      </c>
      <c r="BB74">
        <v>1153</v>
      </c>
      <c r="BC74">
        <v>1162</v>
      </c>
      <c r="BD74" t="s">
        <v>74</v>
      </c>
      <c r="BE74" t="s">
        <v>1181</v>
      </c>
      <c r="BF74" t="str">
        <f>HYPERLINK("http://dx.doi.org/10.1144/gsjgs.156.6.1153","http://dx.doi.org/10.1144/gsjgs.156.6.1153")</f>
        <v>http://dx.doi.org/10.1144/gsjgs.156.6.1153</v>
      </c>
      <c r="BG74" t="s">
        <v>74</v>
      </c>
      <c r="BH74" t="s">
        <v>74</v>
      </c>
      <c r="BI74">
        <v>10</v>
      </c>
      <c r="BJ74" t="s">
        <v>387</v>
      </c>
      <c r="BK74" t="s">
        <v>143</v>
      </c>
      <c r="BL74" t="s">
        <v>388</v>
      </c>
      <c r="BM74" t="s">
        <v>1182</v>
      </c>
      <c r="BN74" t="s">
        <v>74</v>
      </c>
      <c r="BO74" t="s">
        <v>74</v>
      </c>
      <c r="BP74" t="s">
        <v>74</v>
      </c>
      <c r="BQ74" t="s">
        <v>74</v>
      </c>
      <c r="BR74" t="s">
        <v>99</v>
      </c>
      <c r="BS74" t="s">
        <v>1183</v>
      </c>
      <c r="BT74" t="str">
        <f>HYPERLINK("https%3A%2F%2Fwww.webofscience.com%2Fwos%2Fwoscc%2Ffull-record%2FWOS:000083645200015","View Full Record in Web of Science")</f>
        <v>View Full Record in Web of Science</v>
      </c>
    </row>
    <row r="75" spans="1:72" x14ac:dyDescent="0.15">
      <c r="A75" t="s">
        <v>72</v>
      </c>
      <c r="B75" t="s">
        <v>1184</v>
      </c>
      <c r="C75" t="s">
        <v>74</v>
      </c>
      <c r="D75" t="s">
        <v>74</v>
      </c>
      <c r="E75" t="s">
        <v>74</v>
      </c>
      <c r="F75" t="s">
        <v>1184</v>
      </c>
      <c r="G75" t="s">
        <v>74</v>
      </c>
      <c r="H75" t="s">
        <v>74</v>
      </c>
      <c r="I75" t="s">
        <v>1185</v>
      </c>
      <c r="J75" t="s">
        <v>1186</v>
      </c>
      <c r="K75" t="s">
        <v>74</v>
      </c>
      <c r="L75" t="s">
        <v>74</v>
      </c>
      <c r="M75" t="s">
        <v>77</v>
      </c>
      <c r="N75" t="s">
        <v>1187</v>
      </c>
      <c r="O75" t="s">
        <v>74</v>
      </c>
      <c r="P75" t="s">
        <v>74</v>
      </c>
      <c r="Q75" t="s">
        <v>74</v>
      </c>
      <c r="R75" t="s">
        <v>74</v>
      </c>
      <c r="S75" t="s">
        <v>74</v>
      </c>
      <c r="T75" t="s">
        <v>74</v>
      </c>
      <c r="U75" t="s">
        <v>74</v>
      </c>
      <c r="V75" t="s">
        <v>74</v>
      </c>
      <c r="W75" t="s">
        <v>74</v>
      </c>
      <c r="X75" t="s">
        <v>74</v>
      </c>
      <c r="Y75" t="s">
        <v>74</v>
      </c>
      <c r="Z75" t="s">
        <v>74</v>
      </c>
      <c r="AA75" t="s">
        <v>74</v>
      </c>
      <c r="AB75" t="s">
        <v>74</v>
      </c>
      <c r="AC75" t="s">
        <v>74</v>
      </c>
      <c r="AD75" t="s">
        <v>74</v>
      </c>
      <c r="AE75" t="s">
        <v>74</v>
      </c>
      <c r="AF75" t="s">
        <v>74</v>
      </c>
      <c r="AG75">
        <v>1</v>
      </c>
      <c r="AH75">
        <v>0</v>
      </c>
      <c r="AI75">
        <v>0</v>
      </c>
      <c r="AJ75">
        <v>0</v>
      </c>
      <c r="AK75">
        <v>0</v>
      </c>
      <c r="AL75" t="s">
        <v>1188</v>
      </c>
      <c r="AM75" t="s">
        <v>554</v>
      </c>
      <c r="AN75" t="s">
        <v>1189</v>
      </c>
      <c r="AO75" t="s">
        <v>1190</v>
      </c>
      <c r="AP75" t="s">
        <v>74</v>
      </c>
      <c r="AQ75" t="s">
        <v>74</v>
      </c>
      <c r="AR75" t="s">
        <v>1191</v>
      </c>
      <c r="AS75" t="s">
        <v>1192</v>
      </c>
      <c r="AT75" t="s">
        <v>947</v>
      </c>
      <c r="AU75">
        <v>1999</v>
      </c>
      <c r="AV75">
        <v>124</v>
      </c>
      <c r="AW75">
        <v>18</v>
      </c>
      <c r="AX75" t="s">
        <v>74</v>
      </c>
      <c r="AY75" t="s">
        <v>74</v>
      </c>
      <c r="AZ75" t="s">
        <v>74</v>
      </c>
      <c r="BA75" t="s">
        <v>74</v>
      </c>
      <c r="BB75">
        <v>130</v>
      </c>
      <c r="BC75">
        <v>130</v>
      </c>
      <c r="BD75" t="s">
        <v>74</v>
      </c>
      <c r="BE75" t="s">
        <v>74</v>
      </c>
      <c r="BF75" t="s">
        <v>74</v>
      </c>
      <c r="BG75" t="s">
        <v>74</v>
      </c>
      <c r="BH75" t="s">
        <v>74</v>
      </c>
      <c r="BI75">
        <v>1</v>
      </c>
      <c r="BJ75" t="s">
        <v>1193</v>
      </c>
      <c r="BK75" t="s">
        <v>1194</v>
      </c>
      <c r="BL75" t="s">
        <v>1193</v>
      </c>
      <c r="BM75" t="s">
        <v>1195</v>
      </c>
      <c r="BN75" t="s">
        <v>74</v>
      </c>
      <c r="BO75" t="s">
        <v>74</v>
      </c>
      <c r="BP75" t="s">
        <v>74</v>
      </c>
      <c r="BQ75" t="s">
        <v>74</v>
      </c>
      <c r="BR75" t="s">
        <v>99</v>
      </c>
      <c r="BS75" t="s">
        <v>1196</v>
      </c>
      <c r="BT75" t="str">
        <f>HYPERLINK("https%3A%2F%2Fwww.webofscience.com%2Fwos%2Fwoscc%2Ffull-record%2FWOS:000083393200343","View Full Record in Web of Science")</f>
        <v>View Full Record in Web of Science</v>
      </c>
    </row>
    <row r="76" spans="1:72" x14ac:dyDescent="0.15">
      <c r="A76" t="s">
        <v>72</v>
      </c>
      <c r="B76" t="s">
        <v>1197</v>
      </c>
      <c r="C76" t="s">
        <v>74</v>
      </c>
      <c r="D76" t="s">
        <v>74</v>
      </c>
      <c r="E76" t="s">
        <v>74</v>
      </c>
      <c r="F76" t="s">
        <v>1197</v>
      </c>
      <c r="G76" t="s">
        <v>74</v>
      </c>
      <c r="H76" t="s">
        <v>74</v>
      </c>
      <c r="I76" t="s">
        <v>1198</v>
      </c>
      <c r="J76" t="s">
        <v>1199</v>
      </c>
      <c r="K76" t="s">
        <v>74</v>
      </c>
      <c r="L76" t="s">
        <v>74</v>
      </c>
      <c r="M76" t="s">
        <v>77</v>
      </c>
      <c r="N76" t="s">
        <v>78</v>
      </c>
      <c r="O76" t="s">
        <v>74</v>
      </c>
      <c r="P76" t="s">
        <v>74</v>
      </c>
      <c r="Q76" t="s">
        <v>74</v>
      </c>
      <c r="R76" t="s">
        <v>74</v>
      </c>
      <c r="S76" t="s">
        <v>74</v>
      </c>
      <c r="T76" t="s">
        <v>74</v>
      </c>
      <c r="U76" t="s">
        <v>1200</v>
      </c>
      <c r="V76" t="s">
        <v>1201</v>
      </c>
      <c r="W76" t="s">
        <v>1202</v>
      </c>
      <c r="X76" t="s">
        <v>1203</v>
      </c>
      <c r="Y76" t="s">
        <v>1204</v>
      </c>
      <c r="Z76" t="s">
        <v>74</v>
      </c>
      <c r="AA76" t="s">
        <v>1205</v>
      </c>
      <c r="AB76" t="s">
        <v>1206</v>
      </c>
      <c r="AC76" t="s">
        <v>74</v>
      </c>
      <c r="AD76" t="s">
        <v>74</v>
      </c>
      <c r="AE76" t="s">
        <v>74</v>
      </c>
      <c r="AF76" t="s">
        <v>74</v>
      </c>
      <c r="AG76">
        <v>29</v>
      </c>
      <c r="AH76">
        <v>34</v>
      </c>
      <c r="AI76">
        <v>35</v>
      </c>
      <c r="AJ76">
        <v>0</v>
      </c>
      <c r="AK76">
        <v>2</v>
      </c>
      <c r="AL76" t="s">
        <v>997</v>
      </c>
      <c r="AM76" t="s">
        <v>998</v>
      </c>
      <c r="AN76" t="s">
        <v>999</v>
      </c>
      <c r="AO76" t="s">
        <v>1207</v>
      </c>
      <c r="AP76" t="s">
        <v>1208</v>
      </c>
      <c r="AQ76" t="s">
        <v>74</v>
      </c>
      <c r="AR76" t="s">
        <v>1209</v>
      </c>
      <c r="AS76" t="s">
        <v>1210</v>
      </c>
      <c r="AT76" t="s">
        <v>537</v>
      </c>
      <c r="AU76">
        <v>1999</v>
      </c>
      <c r="AV76">
        <v>44</v>
      </c>
      <c r="AW76">
        <v>7</v>
      </c>
      <c r="AX76" t="s">
        <v>74</v>
      </c>
      <c r="AY76" t="s">
        <v>74</v>
      </c>
      <c r="AZ76" t="s">
        <v>74</v>
      </c>
      <c r="BA76" t="s">
        <v>74</v>
      </c>
      <c r="BB76">
        <v>1599</v>
      </c>
      <c r="BC76">
        <v>1608</v>
      </c>
      <c r="BD76" t="s">
        <v>74</v>
      </c>
      <c r="BE76" t="s">
        <v>1211</v>
      </c>
      <c r="BF76" t="str">
        <f>HYPERLINK("http://dx.doi.org/10.4319/lo.1999.44.7.1599","http://dx.doi.org/10.4319/lo.1999.44.7.1599")</f>
        <v>http://dx.doi.org/10.4319/lo.1999.44.7.1599</v>
      </c>
      <c r="BG76" t="s">
        <v>74</v>
      </c>
      <c r="BH76" t="s">
        <v>74</v>
      </c>
      <c r="BI76">
        <v>10</v>
      </c>
      <c r="BJ76" t="s">
        <v>1212</v>
      </c>
      <c r="BK76" t="s">
        <v>96</v>
      </c>
      <c r="BL76" t="s">
        <v>1136</v>
      </c>
      <c r="BM76" t="s">
        <v>1213</v>
      </c>
      <c r="BN76" t="s">
        <v>74</v>
      </c>
      <c r="BO76" t="s">
        <v>1214</v>
      </c>
      <c r="BP76" t="s">
        <v>74</v>
      </c>
      <c r="BQ76" t="s">
        <v>74</v>
      </c>
      <c r="BR76" t="s">
        <v>99</v>
      </c>
      <c r="BS76" t="s">
        <v>1215</v>
      </c>
      <c r="BT76" t="str">
        <f>HYPERLINK("https%3A%2F%2Fwww.webofscience.com%2Fwos%2Fwoscc%2Ffull-record%2FWOS:000083446900001","View Full Record in Web of Science")</f>
        <v>View Full Record in Web of Science</v>
      </c>
    </row>
    <row r="77" spans="1:72" x14ac:dyDescent="0.15">
      <c r="A77" t="s">
        <v>72</v>
      </c>
      <c r="B77" t="s">
        <v>1216</v>
      </c>
      <c r="C77" t="s">
        <v>74</v>
      </c>
      <c r="D77" t="s">
        <v>74</v>
      </c>
      <c r="E77" t="s">
        <v>74</v>
      </c>
      <c r="F77" t="s">
        <v>1216</v>
      </c>
      <c r="G77" t="s">
        <v>74</v>
      </c>
      <c r="H77" t="s">
        <v>74</v>
      </c>
      <c r="I77" t="s">
        <v>1217</v>
      </c>
      <c r="J77" t="s">
        <v>1218</v>
      </c>
      <c r="K77" t="s">
        <v>74</v>
      </c>
      <c r="L77" t="s">
        <v>74</v>
      </c>
      <c r="M77" t="s">
        <v>77</v>
      </c>
      <c r="N77" t="s">
        <v>78</v>
      </c>
      <c r="O77" t="s">
        <v>74</v>
      </c>
      <c r="P77" t="s">
        <v>74</v>
      </c>
      <c r="Q77" t="s">
        <v>74</v>
      </c>
      <c r="R77" t="s">
        <v>74</v>
      </c>
      <c r="S77" t="s">
        <v>74</v>
      </c>
      <c r="T77" t="s">
        <v>74</v>
      </c>
      <c r="U77" t="s">
        <v>1219</v>
      </c>
      <c r="V77" t="s">
        <v>1220</v>
      </c>
      <c r="W77" t="s">
        <v>1221</v>
      </c>
      <c r="X77" t="s">
        <v>1222</v>
      </c>
      <c r="Y77" t="s">
        <v>1223</v>
      </c>
      <c r="Z77" t="s">
        <v>74</v>
      </c>
      <c r="AA77" t="s">
        <v>74</v>
      </c>
      <c r="AB77" t="s">
        <v>1224</v>
      </c>
      <c r="AC77" t="s">
        <v>74</v>
      </c>
      <c r="AD77" t="s">
        <v>74</v>
      </c>
      <c r="AE77" t="s">
        <v>74</v>
      </c>
      <c r="AF77" t="s">
        <v>74</v>
      </c>
      <c r="AG77">
        <v>65</v>
      </c>
      <c r="AH77">
        <v>96</v>
      </c>
      <c r="AI77">
        <v>106</v>
      </c>
      <c r="AJ77">
        <v>0</v>
      </c>
      <c r="AK77">
        <v>16</v>
      </c>
      <c r="AL77" t="s">
        <v>553</v>
      </c>
      <c r="AM77" t="s">
        <v>554</v>
      </c>
      <c r="AN77" t="s">
        <v>555</v>
      </c>
      <c r="AO77" t="s">
        <v>1225</v>
      </c>
      <c r="AP77" t="s">
        <v>74</v>
      </c>
      <c r="AQ77" t="s">
        <v>74</v>
      </c>
      <c r="AR77" t="s">
        <v>1226</v>
      </c>
      <c r="AS77" t="s">
        <v>1227</v>
      </c>
      <c r="AT77" t="s">
        <v>537</v>
      </c>
      <c r="AU77">
        <v>1999</v>
      </c>
      <c r="AV77">
        <v>135</v>
      </c>
      <c r="AW77">
        <v>2</v>
      </c>
      <c r="AX77" t="s">
        <v>74</v>
      </c>
      <c r="AY77" t="s">
        <v>74</v>
      </c>
      <c r="AZ77" t="s">
        <v>74</v>
      </c>
      <c r="BA77" t="s">
        <v>74</v>
      </c>
      <c r="BB77">
        <v>269</v>
      </c>
      <c r="BC77">
        <v>280</v>
      </c>
      <c r="BD77" t="s">
        <v>74</v>
      </c>
      <c r="BE77" t="s">
        <v>1228</v>
      </c>
      <c r="BF77" t="str">
        <f>HYPERLINK("http://dx.doi.org/10.1007/s002270050624","http://dx.doi.org/10.1007/s002270050624")</f>
        <v>http://dx.doi.org/10.1007/s002270050624</v>
      </c>
      <c r="BG77" t="s">
        <v>74</v>
      </c>
      <c r="BH77" t="s">
        <v>74</v>
      </c>
      <c r="BI77">
        <v>12</v>
      </c>
      <c r="BJ77" t="s">
        <v>1229</v>
      </c>
      <c r="BK77" t="s">
        <v>96</v>
      </c>
      <c r="BL77" t="s">
        <v>1229</v>
      </c>
      <c r="BM77" t="s">
        <v>1230</v>
      </c>
      <c r="BN77" t="s">
        <v>74</v>
      </c>
      <c r="BO77" t="s">
        <v>1214</v>
      </c>
      <c r="BP77" t="s">
        <v>74</v>
      </c>
      <c r="BQ77" t="s">
        <v>74</v>
      </c>
      <c r="BR77" t="s">
        <v>99</v>
      </c>
      <c r="BS77" t="s">
        <v>1231</v>
      </c>
      <c r="BT77" t="str">
        <f>HYPERLINK("https%3A%2F%2Fwww.webofscience.com%2Fwos%2Fwoscc%2Ffull-record%2FWOS:000083839200007","View Full Record in Web of Science")</f>
        <v>View Full Record in Web of Science</v>
      </c>
    </row>
    <row r="78" spans="1:72" x14ac:dyDescent="0.15">
      <c r="A78" t="s">
        <v>72</v>
      </c>
      <c r="B78" t="s">
        <v>1232</v>
      </c>
      <c r="C78" t="s">
        <v>74</v>
      </c>
      <c r="D78" t="s">
        <v>74</v>
      </c>
      <c r="E78" t="s">
        <v>74</v>
      </c>
      <c r="F78" t="s">
        <v>1232</v>
      </c>
      <c r="G78" t="s">
        <v>74</v>
      </c>
      <c r="H78" t="s">
        <v>74</v>
      </c>
      <c r="I78" t="s">
        <v>1233</v>
      </c>
      <c r="J78" t="s">
        <v>1234</v>
      </c>
      <c r="K78" t="s">
        <v>74</v>
      </c>
      <c r="L78" t="s">
        <v>74</v>
      </c>
      <c r="M78" t="s">
        <v>77</v>
      </c>
      <c r="N78" t="s">
        <v>78</v>
      </c>
      <c r="O78" t="s">
        <v>74</v>
      </c>
      <c r="P78" t="s">
        <v>74</v>
      </c>
      <c r="Q78" t="s">
        <v>74</v>
      </c>
      <c r="R78" t="s">
        <v>74</v>
      </c>
      <c r="S78" t="s">
        <v>74</v>
      </c>
      <c r="T78" t="s">
        <v>1235</v>
      </c>
      <c r="U78" t="s">
        <v>1236</v>
      </c>
      <c r="V78" t="s">
        <v>1237</v>
      </c>
      <c r="W78" t="s">
        <v>1238</v>
      </c>
      <c r="X78" t="s">
        <v>1239</v>
      </c>
      <c r="Y78" t="s">
        <v>1240</v>
      </c>
      <c r="Z78" t="s">
        <v>1241</v>
      </c>
      <c r="AA78" t="s">
        <v>74</v>
      </c>
      <c r="AB78" t="s">
        <v>74</v>
      </c>
      <c r="AC78" t="s">
        <v>74</v>
      </c>
      <c r="AD78" t="s">
        <v>74</v>
      </c>
      <c r="AE78" t="s">
        <v>74</v>
      </c>
      <c r="AF78" t="s">
        <v>74</v>
      </c>
      <c r="AG78">
        <v>34</v>
      </c>
      <c r="AH78">
        <v>17</v>
      </c>
      <c r="AI78">
        <v>22</v>
      </c>
      <c r="AJ78">
        <v>0</v>
      </c>
      <c r="AK78">
        <v>3</v>
      </c>
      <c r="AL78" t="s">
        <v>705</v>
      </c>
      <c r="AM78" t="s">
        <v>554</v>
      </c>
      <c r="AN78" t="s">
        <v>1242</v>
      </c>
      <c r="AO78" t="s">
        <v>1243</v>
      </c>
      <c r="AP78" t="s">
        <v>1244</v>
      </c>
      <c r="AQ78" t="s">
        <v>74</v>
      </c>
      <c r="AR78" t="s">
        <v>1245</v>
      </c>
      <c r="AS78" t="s">
        <v>1246</v>
      </c>
      <c r="AT78" t="s">
        <v>883</v>
      </c>
      <c r="AU78">
        <v>1999</v>
      </c>
      <c r="AV78">
        <v>1</v>
      </c>
      <c r="AW78">
        <v>6</v>
      </c>
      <c r="AX78" t="s">
        <v>74</v>
      </c>
      <c r="AY78" t="s">
        <v>74</v>
      </c>
      <c r="AZ78" t="s">
        <v>74</v>
      </c>
      <c r="BA78" t="s">
        <v>74</v>
      </c>
      <c r="BB78">
        <v>598</v>
      </c>
      <c r="BC78">
        <v>607</v>
      </c>
      <c r="BD78" t="s">
        <v>74</v>
      </c>
      <c r="BE78" t="s">
        <v>1247</v>
      </c>
      <c r="BF78" t="str">
        <f>HYPERLINK("http://dx.doi.org/10.1007/PL00011815","http://dx.doi.org/10.1007/PL00011815")</f>
        <v>http://dx.doi.org/10.1007/PL00011815</v>
      </c>
      <c r="BG78" t="s">
        <v>74</v>
      </c>
      <c r="BH78" t="s">
        <v>74</v>
      </c>
      <c r="BI78">
        <v>10</v>
      </c>
      <c r="BJ78" t="s">
        <v>1248</v>
      </c>
      <c r="BK78" t="s">
        <v>96</v>
      </c>
      <c r="BL78" t="s">
        <v>1248</v>
      </c>
      <c r="BM78" t="s">
        <v>1249</v>
      </c>
      <c r="BN78">
        <v>10612685</v>
      </c>
      <c r="BO78" t="s">
        <v>74</v>
      </c>
      <c r="BP78" t="s">
        <v>74</v>
      </c>
      <c r="BQ78" t="s">
        <v>74</v>
      </c>
      <c r="BR78" t="s">
        <v>99</v>
      </c>
      <c r="BS78" t="s">
        <v>1250</v>
      </c>
      <c r="BT78" t="str">
        <f>HYPERLINK("https%3A%2F%2Fwww.webofscience.com%2Fwos%2Fwoscc%2Ffull-record%2FWOS:000084555300009","View Full Record in Web of Science")</f>
        <v>View Full Record in Web of Science</v>
      </c>
    </row>
    <row r="79" spans="1:72" x14ac:dyDescent="0.15">
      <c r="A79" t="s">
        <v>72</v>
      </c>
      <c r="B79" t="s">
        <v>1251</v>
      </c>
      <c r="C79" t="s">
        <v>74</v>
      </c>
      <c r="D79" t="s">
        <v>74</v>
      </c>
      <c r="E79" t="s">
        <v>74</v>
      </c>
      <c r="F79" t="s">
        <v>1251</v>
      </c>
      <c r="G79" t="s">
        <v>74</v>
      </c>
      <c r="H79" t="s">
        <v>74</v>
      </c>
      <c r="I79" t="s">
        <v>1252</v>
      </c>
      <c r="J79" t="s">
        <v>1253</v>
      </c>
      <c r="K79" t="s">
        <v>74</v>
      </c>
      <c r="L79" t="s">
        <v>74</v>
      </c>
      <c r="M79" t="s">
        <v>77</v>
      </c>
      <c r="N79" t="s">
        <v>78</v>
      </c>
      <c r="O79" t="s">
        <v>74</v>
      </c>
      <c r="P79" t="s">
        <v>74</v>
      </c>
      <c r="Q79" t="s">
        <v>74</v>
      </c>
      <c r="R79" t="s">
        <v>74</v>
      </c>
      <c r="S79" t="s">
        <v>74</v>
      </c>
      <c r="T79" t="s">
        <v>1254</v>
      </c>
      <c r="U79" t="s">
        <v>1255</v>
      </c>
      <c r="V79" t="s">
        <v>1256</v>
      </c>
      <c r="W79" t="s">
        <v>1257</v>
      </c>
      <c r="X79" t="s">
        <v>1258</v>
      </c>
      <c r="Y79" t="s">
        <v>1259</v>
      </c>
      <c r="Z79" t="s">
        <v>1260</v>
      </c>
      <c r="AA79" t="s">
        <v>1261</v>
      </c>
      <c r="AB79" t="s">
        <v>1262</v>
      </c>
      <c r="AC79" t="s">
        <v>74</v>
      </c>
      <c r="AD79" t="s">
        <v>74</v>
      </c>
      <c r="AE79" t="s">
        <v>74</v>
      </c>
      <c r="AF79" t="s">
        <v>74</v>
      </c>
      <c r="AG79">
        <v>100</v>
      </c>
      <c r="AH79">
        <v>36</v>
      </c>
      <c r="AI79">
        <v>39</v>
      </c>
      <c r="AJ79">
        <v>0</v>
      </c>
      <c r="AK79">
        <v>7</v>
      </c>
      <c r="AL79" t="s">
        <v>1263</v>
      </c>
      <c r="AM79" t="s">
        <v>211</v>
      </c>
      <c r="AN79" t="s">
        <v>1264</v>
      </c>
      <c r="AO79" t="s">
        <v>1265</v>
      </c>
      <c r="AP79" t="s">
        <v>1266</v>
      </c>
      <c r="AQ79" t="s">
        <v>74</v>
      </c>
      <c r="AR79" t="s">
        <v>1267</v>
      </c>
      <c r="AS79" t="s">
        <v>1268</v>
      </c>
      <c r="AT79" t="s">
        <v>537</v>
      </c>
      <c r="AU79">
        <v>1999</v>
      </c>
      <c r="AV79">
        <v>38</v>
      </c>
      <c r="AW79">
        <v>1</v>
      </c>
      <c r="AX79" t="s">
        <v>74</v>
      </c>
      <c r="AY79" t="s">
        <v>74</v>
      </c>
      <c r="AZ79" t="s">
        <v>74</v>
      </c>
      <c r="BA79" t="s">
        <v>74</v>
      </c>
      <c r="BB79">
        <v>69</v>
      </c>
      <c r="BC79">
        <v>89</v>
      </c>
      <c r="BD79" t="s">
        <v>74</v>
      </c>
      <c r="BE79" t="s">
        <v>1269</v>
      </c>
      <c r="BF79" t="str">
        <f>HYPERLINK("http://dx.doi.org/10.1016/S0377-8398(99)00039-0","http://dx.doi.org/10.1016/S0377-8398(99)00039-0")</f>
        <v>http://dx.doi.org/10.1016/S0377-8398(99)00039-0</v>
      </c>
      <c r="BG79" t="s">
        <v>74</v>
      </c>
      <c r="BH79" t="s">
        <v>74</v>
      </c>
      <c r="BI79">
        <v>21</v>
      </c>
      <c r="BJ79" t="s">
        <v>1270</v>
      </c>
      <c r="BK79" t="s">
        <v>96</v>
      </c>
      <c r="BL79" t="s">
        <v>1270</v>
      </c>
      <c r="BM79" t="s">
        <v>1271</v>
      </c>
      <c r="BN79" t="s">
        <v>74</v>
      </c>
      <c r="BO79" t="s">
        <v>74</v>
      </c>
      <c r="BP79" t="s">
        <v>74</v>
      </c>
      <c r="BQ79" t="s">
        <v>74</v>
      </c>
      <c r="BR79" t="s">
        <v>99</v>
      </c>
      <c r="BS79" t="s">
        <v>1272</v>
      </c>
      <c r="BT79" t="str">
        <f>HYPERLINK("https%3A%2F%2Fwww.webofscience.com%2Fwos%2Fwoscc%2Ffull-record%2FWOS:000083838600005","View Full Record in Web of Science")</f>
        <v>View Full Record in Web of Science</v>
      </c>
    </row>
    <row r="80" spans="1:72" x14ac:dyDescent="0.15">
      <c r="A80" t="s">
        <v>72</v>
      </c>
      <c r="B80" t="s">
        <v>1273</v>
      </c>
      <c r="C80" t="s">
        <v>74</v>
      </c>
      <c r="D80" t="s">
        <v>74</v>
      </c>
      <c r="E80" t="s">
        <v>74</v>
      </c>
      <c r="F80" t="s">
        <v>1273</v>
      </c>
      <c r="G80" t="s">
        <v>74</v>
      </c>
      <c r="H80" t="s">
        <v>74</v>
      </c>
      <c r="I80" t="s">
        <v>1274</v>
      </c>
      <c r="J80" t="s">
        <v>1275</v>
      </c>
      <c r="K80" t="s">
        <v>74</v>
      </c>
      <c r="L80" t="s">
        <v>74</v>
      </c>
      <c r="M80" t="s">
        <v>77</v>
      </c>
      <c r="N80" t="s">
        <v>1187</v>
      </c>
      <c r="O80" t="s">
        <v>74</v>
      </c>
      <c r="P80" t="s">
        <v>74</v>
      </c>
      <c r="Q80" t="s">
        <v>74</v>
      </c>
      <c r="R80" t="s">
        <v>74</v>
      </c>
      <c r="S80" t="s">
        <v>74</v>
      </c>
      <c r="T80" t="s">
        <v>74</v>
      </c>
      <c r="U80" t="s">
        <v>74</v>
      </c>
      <c r="V80" t="s">
        <v>74</v>
      </c>
      <c r="W80" t="s">
        <v>74</v>
      </c>
      <c r="X80" t="s">
        <v>74</v>
      </c>
      <c r="Y80" t="s">
        <v>74</v>
      </c>
      <c r="Z80" t="s">
        <v>74</v>
      </c>
      <c r="AA80" t="s">
        <v>74</v>
      </c>
      <c r="AB80" t="s">
        <v>74</v>
      </c>
      <c r="AC80" t="s">
        <v>74</v>
      </c>
      <c r="AD80" t="s">
        <v>74</v>
      </c>
      <c r="AE80" t="s">
        <v>74</v>
      </c>
      <c r="AF80" t="s">
        <v>74</v>
      </c>
      <c r="AG80">
        <v>1</v>
      </c>
      <c r="AH80">
        <v>0</v>
      </c>
      <c r="AI80">
        <v>0</v>
      </c>
      <c r="AJ80">
        <v>0</v>
      </c>
      <c r="AK80">
        <v>0</v>
      </c>
      <c r="AL80" t="s">
        <v>1276</v>
      </c>
      <c r="AM80" t="s">
        <v>531</v>
      </c>
      <c r="AN80" t="s">
        <v>1277</v>
      </c>
      <c r="AO80" t="s">
        <v>1278</v>
      </c>
      <c r="AP80" t="s">
        <v>74</v>
      </c>
      <c r="AQ80" t="s">
        <v>74</v>
      </c>
      <c r="AR80" t="s">
        <v>1275</v>
      </c>
      <c r="AS80" t="s">
        <v>1279</v>
      </c>
      <c r="AT80" t="s">
        <v>537</v>
      </c>
      <c r="AU80">
        <v>1999</v>
      </c>
      <c r="AV80">
        <v>85</v>
      </c>
      <c r="AW80">
        <v>4</v>
      </c>
      <c r="AX80" t="s">
        <v>74</v>
      </c>
      <c r="AY80" t="s">
        <v>74</v>
      </c>
      <c r="AZ80" t="s">
        <v>74</v>
      </c>
      <c r="BA80" t="s">
        <v>74</v>
      </c>
      <c r="BB80">
        <v>500</v>
      </c>
      <c r="BC80">
        <v>501</v>
      </c>
      <c r="BD80" t="s">
        <v>74</v>
      </c>
      <c r="BE80" t="s">
        <v>74</v>
      </c>
      <c r="BF80" t="s">
        <v>74</v>
      </c>
      <c r="BG80" t="s">
        <v>74</v>
      </c>
      <c r="BH80" t="s">
        <v>74</v>
      </c>
      <c r="BI80">
        <v>2</v>
      </c>
      <c r="BJ80" t="s">
        <v>1280</v>
      </c>
      <c r="BK80" t="s">
        <v>1281</v>
      </c>
      <c r="BL80" t="s">
        <v>1280</v>
      </c>
      <c r="BM80" t="s">
        <v>1282</v>
      </c>
      <c r="BN80" t="s">
        <v>74</v>
      </c>
      <c r="BO80" t="s">
        <v>74</v>
      </c>
      <c r="BP80" t="s">
        <v>74</v>
      </c>
      <c r="BQ80" t="s">
        <v>74</v>
      </c>
      <c r="BR80" t="s">
        <v>99</v>
      </c>
      <c r="BS80" t="s">
        <v>1283</v>
      </c>
      <c r="BT80" t="str">
        <f>HYPERLINK("https%3A%2F%2Fwww.webofscience.com%2Fwos%2Fwoscc%2Ffull-record%2FWOS:000083728600033","View Full Record in Web of Science")</f>
        <v>View Full Record in Web of Science</v>
      </c>
    </row>
    <row r="81" spans="1:72" x14ac:dyDescent="0.15">
      <c r="A81" t="s">
        <v>72</v>
      </c>
      <c r="B81" t="s">
        <v>1284</v>
      </c>
      <c r="C81" t="s">
        <v>74</v>
      </c>
      <c r="D81" t="s">
        <v>74</v>
      </c>
      <c r="E81" t="s">
        <v>74</v>
      </c>
      <c r="F81" t="s">
        <v>1284</v>
      </c>
      <c r="G81" t="s">
        <v>74</v>
      </c>
      <c r="H81" t="s">
        <v>74</v>
      </c>
      <c r="I81" t="s">
        <v>1285</v>
      </c>
      <c r="J81" t="s">
        <v>1286</v>
      </c>
      <c r="K81" t="s">
        <v>74</v>
      </c>
      <c r="L81" t="s">
        <v>74</v>
      </c>
      <c r="M81" t="s">
        <v>77</v>
      </c>
      <c r="N81" t="s">
        <v>52</v>
      </c>
      <c r="O81" t="s">
        <v>74</v>
      </c>
      <c r="P81" t="s">
        <v>74</v>
      </c>
      <c r="Q81" t="s">
        <v>74</v>
      </c>
      <c r="R81" t="s">
        <v>74</v>
      </c>
      <c r="S81" t="s">
        <v>74</v>
      </c>
      <c r="T81" t="s">
        <v>74</v>
      </c>
      <c r="U81" t="s">
        <v>74</v>
      </c>
      <c r="V81" t="s">
        <v>74</v>
      </c>
      <c r="W81" t="s">
        <v>1287</v>
      </c>
      <c r="X81" t="s">
        <v>1288</v>
      </c>
      <c r="Y81" t="s">
        <v>74</v>
      </c>
      <c r="Z81" t="s">
        <v>74</v>
      </c>
      <c r="AA81" t="s">
        <v>74</v>
      </c>
      <c r="AB81" t="s">
        <v>74</v>
      </c>
      <c r="AC81" t="s">
        <v>74</v>
      </c>
      <c r="AD81" t="s">
        <v>74</v>
      </c>
      <c r="AE81" t="s">
        <v>74</v>
      </c>
      <c r="AF81" t="s">
        <v>74</v>
      </c>
      <c r="AG81">
        <v>0</v>
      </c>
      <c r="AH81">
        <v>0</v>
      </c>
      <c r="AI81">
        <v>0</v>
      </c>
      <c r="AJ81">
        <v>0</v>
      </c>
      <c r="AK81">
        <v>0</v>
      </c>
      <c r="AL81" t="s">
        <v>1289</v>
      </c>
      <c r="AM81" t="s">
        <v>1290</v>
      </c>
      <c r="AN81" t="s">
        <v>1291</v>
      </c>
      <c r="AO81" t="s">
        <v>1292</v>
      </c>
      <c r="AP81" t="s">
        <v>74</v>
      </c>
      <c r="AQ81" t="s">
        <v>74</v>
      </c>
      <c r="AR81" t="s">
        <v>1293</v>
      </c>
      <c r="AS81" t="s">
        <v>1294</v>
      </c>
      <c r="AT81" t="s">
        <v>537</v>
      </c>
      <c r="AU81">
        <v>1999</v>
      </c>
      <c r="AV81">
        <v>10</v>
      </c>
      <c r="AW81" t="s">
        <v>74</v>
      </c>
      <c r="AX81" t="s">
        <v>74</v>
      </c>
      <c r="AY81" t="s">
        <v>1295</v>
      </c>
      <c r="AZ81" t="s">
        <v>74</v>
      </c>
      <c r="BA81">
        <v>826</v>
      </c>
      <c r="BB81" t="s">
        <v>1296</v>
      </c>
      <c r="BC81" t="s">
        <v>1296</v>
      </c>
      <c r="BD81" t="s">
        <v>74</v>
      </c>
      <c r="BE81" t="s">
        <v>74</v>
      </c>
      <c r="BF81" t="s">
        <v>74</v>
      </c>
      <c r="BG81" t="s">
        <v>74</v>
      </c>
      <c r="BH81" t="s">
        <v>74</v>
      </c>
      <c r="BI81">
        <v>1</v>
      </c>
      <c r="BJ81" t="s">
        <v>1297</v>
      </c>
      <c r="BK81" t="s">
        <v>96</v>
      </c>
      <c r="BL81" t="s">
        <v>1297</v>
      </c>
      <c r="BM81" t="s">
        <v>1298</v>
      </c>
      <c r="BN81" t="s">
        <v>74</v>
      </c>
      <c r="BO81" t="s">
        <v>74</v>
      </c>
      <c r="BP81" t="s">
        <v>74</v>
      </c>
      <c r="BQ81" t="s">
        <v>74</v>
      </c>
      <c r="BR81" t="s">
        <v>99</v>
      </c>
      <c r="BS81" t="s">
        <v>1299</v>
      </c>
      <c r="BT81" t="str">
        <f>HYPERLINK("https%3A%2F%2Fwww.webofscience.com%2Fwos%2Fwoscc%2Ffull-record%2FWOS:000083673500829","View Full Record in Web of Science")</f>
        <v>View Full Record in Web of Science</v>
      </c>
    </row>
    <row r="82" spans="1:72" x14ac:dyDescent="0.15">
      <c r="A82" t="s">
        <v>72</v>
      </c>
      <c r="B82" t="s">
        <v>1300</v>
      </c>
      <c r="C82" t="s">
        <v>74</v>
      </c>
      <c r="D82" t="s">
        <v>74</v>
      </c>
      <c r="E82" t="s">
        <v>74</v>
      </c>
      <c r="F82" t="s">
        <v>1300</v>
      </c>
      <c r="G82" t="s">
        <v>74</v>
      </c>
      <c r="H82" t="s">
        <v>74</v>
      </c>
      <c r="I82" t="s">
        <v>1301</v>
      </c>
      <c r="J82" t="s">
        <v>1286</v>
      </c>
      <c r="K82" t="s">
        <v>74</v>
      </c>
      <c r="L82" t="s">
        <v>74</v>
      </c>
      <c r="M82" t="s">
        <v>77</v>
      </c>
      <c r="N82" t="s">
        <v>52</v>
      </c>
      <c r="O82" t="s">
        <v>74</v>
      </c>
      <c r="P82" t="s">
        <v>74</v>
      </c>
      <c r="Q82" t="s">
        <v>74</v>
      </c>
      <c r="R82" t="s">
        <v>74</v>
      </c>
      <c r="S82" t="s">
        <v>74</v>
      </c>
      <c r="T82" t="s">
        <v>74</v>
      </c>
      <c r="U82" t="s">
        <v>74</v>
      </c>
      <c r="V82" t="s">
        <v>74</v>
      </c>
      <c r="W82" t="s">
        <v>1302</v>
      </c>
      <c r="X82" t="s">
        <v>1303</v>
      </c>
      <c r="Y82" t="s">
        <v>74</v>
      </c>
      <c r="Z82" t="s">
        <v>74</v>
      </c>
      <c r="AA82" t="s">
        <v>74</v>
      </c>
      <c r="AB82" t="s">
        <v>74</v>
      </c>
      <c r="AC82" t="s">
        <v>74</v>
      </c>
      <c r="AD82" t="s">
        <v>74</v>
      </c>
      <c r="AE82" t="s">
        <v>74</v>
      </c>
      <c r="AF82" t="s">
        <v>74</v>
      </c>
      <c r="AG82">
        <v>0</v>
      </c>
      <c r="AH82">
        <v>0</v>
      </c>
      <c r="AI82">
        <v>0</v>
      </c>
      <c r="AJ82">
        <v>0</v>
      </c>
      <c r="AK82">
        <v>0</v>
      </c>
      <c r="AL82" t="s">
        <v>1289</v>
      </c>
      <c r="AM82" t="s">
        <v>1290</v>
      </c>
      <c r="AN82" t="s">
        <v>1291</v>
      </c>
      <c r="AO82" t="s">
        <v>1292</v>
      </c>
      <c r="AP82" t="s">
        <v>74</v>
      </c>
      <c r="AQ82" t="s">
        <v>74</v>
      </c>
      <c r="AR82" t="s">
        <v>1293</v>
      </c>
      <c r="AS82" t="s">
        <v>1294</v>
      </c>
      <c r="AT82" t="s">
        <v>537</v>
      </c>
      <c r="AU82">
        <v>1999</v>
      </c>
      <c r="AV82">
        <v>10</v>
      </c>
      <c r="AW82" t="s">
        <v>74</v>
      </c>
      <c r="AX82" t="s">
        <v>74</v>
      </c>
      <c r="AY82" t="s">
        <v>1295</v>
      </c>
      <c r="AZ82" t="s">
        <v>74</v>
      </c>
      <c r="BA82">
        <v>2672</v>
      </c>
      <c r="BB82" t="s">
        <v>1304</v>
      </c>
      <c r="BC82" t="s">
        <v>1304</v>
      </c>
      <c r="BD82" t="s">
        <v>74</v>
      </c>
      <c r="BE82" t="s">
        <v>74</v>
      </c>
      <c r="BF82" t="s">
        <v>74</v>
      </c>
      <c r="BG82" t="s">
        <v>74</v>
      </c>
      <c r="BH82" t="s">
        <v>74</v>
      </c>
      <c r="BI82">
        <v>1</v>
      </c>
      <c r="BJ82" t="s">
        <v>1297</v>
      </c>
      <c r="BK82" t="s">
        <v>96</v>
      </c>
      <c r="BL82" t="s">
        <v>1297</v>
      </c>
      <c r="BM82" t="s">
        <v>1298</v>
      </c>
      <c r="BN82" t="s">
        <v>74</v>
      </c>
      <c r="BO82" t="s">
        <v>74</v>
      </c>
      <c r="BP82" t="s">
        <v>74</v>
      </c>
      <c r="BQ82" t="s">
        <v>74</v>
      </c>
      <c r="BR82" t="s">
        <v>99</v>
      </c>
      <c r="BS82" t="s">
        <v>1305</v>
      </c>
      <c r="BT82" t="str">
        <f>HYPERLINK("https%3A%2F%2Fwww.webofscience.com%2Fwos%2Fwoscc%2Ffull-record%2FWOS:000083673502672","View Full Record in Web of Science")</f>
        <v>View Full Record in Web of Science</v>
      </c>
    </row>
    <row r="83" spans="1:72" x14ac:dyDescent="0.15">
      <c r="A83" t="s">
        <v>72</v>
      </c>
      <c r="B83" t="s">
        <v>1306</v>
      </c>
      <c r="C83" t="s">
        <v>74</v>
      </c>
      <c r="D83" t="s">
        <v>74</v>
      </c>
      <c r="E83" t="s">
        <v>74</v>
      </c>
      <c r="F83" t="s">
        <v>1306</v>
      </c>
      <c r="G83" t="s">
        <v>74</v>
      </c>
      <c r="H83" t="s">
        <v>74</v>
      </c>
      <c r="I83" t="s">
        <v>1307</v>
      </c>
      <c r="J83" t="s">
        <v>1308</v>
      </c>
      <c r="K83" t="s">
        <v>74</v>
      </c>
      <c r="L83" t="s">
        <v>74</v>
      </c>
      <c r="M83" t="s">
        <v>77</v>
      </c>
      <c r="N83" t="s">
        <v>78</v>
      </c>
      <c r="O83" t="s">
        <v>74</v>
      </c>
      <c r="P83" t="s">
        <v>74</v>
      </c>
      <c r="Q83" t="s">
        <v>74</v>
      </c>
      <c r="R83" t="s">
        <v>74</v>
      </c>
      <c r="S83" t="s">
        <v>74</v>
      </c>
      <c r="T83" t="s">
        <v>1309</v>
      </c>
      <c r="U83" t="s">
        <v>1310</v>
      </c>
      <c r="V83" t="s">
        <v>1311</v>
      </c>
      <c r="W83" t="s">
        <v>1312</v>
      </c>
      <c r="X83" t="s">
        <v>1313</v>
      </c>
      <c r="Y83" t="s">
        <v>1314</v>
      </c>
      <c r="Z83" t="s">
        <v>74</v>
      </c>
      <c r="AA83" t="s">
        <v>1315</v>
      </c>
      <c r="AB83" t="s">
        <v>1316</v>
      </c>
      <c r="AC83" t="s">
        <v>74</v>
      </c>
      <c r="AD83" t="s">
        <v>74</v>
      </c>
      <c r="AE83" t="s">
        <v>74</v>
      </c>
      <c r="AF83" t="s">
        <v>74</v>
      </c>
      <c r="AG83">
        <v>69</v>
      </c>
      <c r="AH83">
        <v>59</v>
      </c>
      <c r="AI83">
        <v>70</v>
      </c>
      <c r="AJ83">
        <v>1</v>
      </c>
      <c r="AK83">
        <v>20</v>
      </c>
      <c r="AL83" t="s">
        <v>553</v>
      </c>
      <c r="AM83" t="s">
        <v>554</v>
      </c>
      <c r="AN83" t="s">
        <v>555</v>
      </c>
      <c r="AO83" t="s">
        <v>1317</v>
      </c>
      <c r="AP83" t="s">
        <v>74</v>
      </c>
      <c r="AQ83" t="s">
        <v>74</v>
      </c>
      <c r="AR83" t="s">
        <v>1308</v>
      </c>
      <c r="AS83" t="s">
        <v>1318</v>
      </c>
      <c r="AT83" t="s">
        <v>537</v>
      </c>
      <c r="AU83">
        <v>1999</v>
      </c>
      <c r="AV83">
        <v>121</v>
      </c>
      <c r="AW83">
        <v>2</v>
      </c>
      <c r="AX83" t="s">
        <v>74</v>
      </c>
      <c r="AY83" t="s">
        <v>74</v>
      </c>
      <c r="AZ83" t="s">
        <v>74</v>
      </c>
      <c r="BA83" t="s">
        <v>74</v>
      </c>
      <c r="BB83">
        <v>201</v>
      </c>
      <c r="BC83">
        <v>211</v>
      </c>
      <c r="BD83" t="s">
        <v>74</v>
      </c>
      <c r="BE83" t="s">
        <v>1319</v>
      </c>
      <c r="BF83" t="str">
        <f>HYPERLINK("http://dx.doi.org/10.1007/s004420050922","http://dx.doi.org/10.1007/s004420050922")</f>
        <v>http://dx.doi.org/10.1007/s004420050922</v>
      </c>
      <c r="BG83" t="s">
        <v>74</v>
      </c>
      <c r="BH83" t="s">
        <v>74</v>
      </c>
      <c r="BI83">
        <v>11</v>
      </c>
      <c r="BJ83" t="s">
        <v>868</v>
      </c>
      <c r="BK83" t="s">
        <v>96</v>
      </c>
      <c r="BL83" t="s">
        <v>761</v>
      </c>
      <c r="BM83" t="s">
        <v>1320</v>
      </c>
      <c r="BN83">
        <v>28308560</v>
      </c>
      <c r="BO83" t="s">
        <v>74</v>
      </c>
      <c r="BP83" t="s">
        <v>74</v>
      </c>
      <c r="BQ83" t="s">
        <v>74</v>
      </c>
      <c r="BR83" t="s">
        <v>99</v>
      </c>
      <c r="BS83" t="s">
        <v>1321</v>
      </c>
      <c r="BT83" t="str">
        <f>HYPERLINK("https%3A%2F%2Fwww.webofscience.com%2Fwos%2Fwoscc%2Ffull-record%2FWOS:000083846300007","View Full Record in Web of Science")</f>
        <v>View Full Record in Web of Science</v>
      </c>
    </row>
    <row r="84" spans="1:72" x14ac:dyDescent="0.15">
      <c r="A84" t="s">
        <v>72</v>
      </c>
      <c r="B84" t="s">
        <v>1322</v>
      </c>
      <c r="C84" t="s">
        <v>74</v>
      </c>
      <c r="D84" t="s">
        <v>74</v>
      </c>
      <c r="E84" t="s">
        <v>74</v>
      </c>
      <c r="F84" t="s">
        <v>1322</v>
      </c>
      <c r="G84" t="s">
        <v>74</v>
      </c>
      <c r="H84" t="s">
        <v>74</v>
      </c>
      <c r="I84" t="s">
        <v>1323</v>
      </c>
      <c r="J84" t="s">
        <v>1324</v>
      </c>
      <c r="K84" t="s">
        <v>74</v>
      </c>
      <c r="L84" t="s">
        <v>74</v>
      </c>
      <c r="M84" t="s">
        <v>77</v>
      </c>
      <c r="N84" t="s">
        <v>78</v>
      </c>
      <c r="O84" t="s">
        <v>74</v>
      </c>
      <c r="P84" t="s">
        <v>74</v>
      </c>
      <c r="Q84" t="s">
        <v>74</v>
      </c>
      <c r="R84" t="s">
        <v>74</v>
      </c>
      <c r="S84" t="s">
        <v>74</v>
      </c>
      <c r="T84" t="s">
        <v>74</v>
      </c>
      <c r="U84" t="s">
        <v>1325</v>
      </c>
      <c r="V84" t="s">
        <v>1326</v>
      </c>
      <c r="W84" t="s">
        <v>1327</v>
      </c>
      <c r="X84" t="s">
        <v>1328</v>
      </c>
      <c r="Y84" t="s">
        <v>1329</v>
      </c>
      <c r="Z84" t="s">
        <v>74</v>
      </c>
      <c r="AA84" t="s">
        <v>74</v>
      </c>
      <c r="AB84" t="s">
        <v>74</v>
      </c>
      <c r="AC84" t="s">
        <v>74</v>
      </c>
      <c r="AD84" t="s">
        <v>74</v>
      </c>
      <c r="AE84" t="s">
        <v>74</v>
      </c>
      <c r="AF84" t="s">
        <v>74</v>
      </c>
      <c r="AG84">
        <v>10</v>
      </c>
      <c r="AH84">
        <v>0</v>
      </c>
      <c r="AI84">
        <v>0</v>
      </c>
      <c r="AJ84">
        <v>0</v>
      </c>
      <c r="AK84">
        <v>0</v>
      </c>
      <c r="AL84" t="s">
        <v>849</v>
      </c>
      <c r="AM84" t="s">
        <v>850</v>
      </c>
      <c r="AN84" t="s">
        <v>851</v>
      </c>
      <c r="AO84" t="s">
        <v>1330</v>
      </c>
      <c r="AP84" t="s">
        <v>74</v>
      </c>
      <c r="AQ84" t="s">
        <v>74</v>
      </c>
      <c r="AR84" t="s">
        <v>1331</v>
      </c>
      <c r="AS84" t="s">
        <v>1332</v>
      </c>
      <c r="AT84" t="s">
        <v>883</v>
      </c>
      <c r="AU84">
        <v>1999</v>
      </c>
      <c r="AV84">
        <v>39</v>
      </c>
      <c r="AW84">
        <v>6</v>
      </c>
      <c r="AX84" t="s">
        <v>74</v>
      </c>
      <c r="AY84" t="s">
        <v>74</v>
      </c>
      <c r="AZ84" t="s">
        <v>74</v>
      </c>
      <c r="BA84" t="s">
        <v>74</v>
      </c>
      <c r="BB84">
        <v>805</v>
      </c>
      <c r="BC84">
        <v>811</v>
      </c>
      <c r="BD84" t="s">
        <v>74</v>
      </c>
      <c r="BE84" t="s">
        <v>74</v>
      </c>
      <c r="BF84" t="s">
        <v>74</v>
      </c>
      <c r="BG84" t="s">
        <v>74</v>
      </c>
      <c r="BH84" t="s">
        <v>74</v>
      </c>
      <c r="BI84">
        <v>7</v>
      </c>
      <c r="BJ84" t="s">
        <v>416</v>
      </c>
      <c r="BK84" t="s">
        <v>96</v>
      </c>
      <c r="BL84" t="s">
        <v>416</v>
      </c>
      <c r="BM84" t="s">
        <v>1333</v>
      </c>
      <c r="BN84" t="s">
        <v>74</v>
      </c>
      <c r="BO84" t="s">
        <v>74</v>
      </c>
      <c r="BP84" t="s">
        <v>74</v>
      </c>
      <c r="BQ84" t="s">
        <v>74</v>
      </c>
      <c r="BR84" t="s">
        <v>99</v>
      </c>
      <c r="BS84" t="s">
        <v>1334</v>
      </c>
      <c r="BT84" t="str">
        <f>HYPERLINK("https%3A%2F%2Fwww.webofscience.com%2Fwos%2Fwoscc%2Ffull-record%2FWOS:000084827300001","View Full Record in Web of Science")</f>
        <v>View Full Record in Web of Science</v>
      </c>
    </row>
    <row r="85" spans="1:72" x14ac:dyDescent="0.15">
      <c r="A85" t="s">
        <v>72</v>
      </c>
      <c r="B85" t="s">
        <v>1335</v>
      </c>
      <c r="C85" t="s">
        <v>74</v>
      </c>
      <c r="D85" t="s">
        <v>74</v>
      </c>
      <c r="E85" t="s">
        <v>74</v>
      </c>
      <c r="F85" t="s">
        <v>1335</v>
      </c>
      <c r="G85" t="s">
        <v>74</v>
      </c>
      <c r="H85" t="s">
        <v>74</v>
      </c>
      <c r="I85" t="s">
        <v>1336</v>
      </c>
      <c r="J85" t="s">
        <v>1337</v>
      </c>
      <c r="K85" t="s">
        <v>74</v>
      </c>
      <c r="L85" t="s">
        <v>74</v>
      </c>
      <c r="M85" t="s">
        <v>77</v>
      </c>
      <c r="N85" t="s">
        <v>78</v>
      </c>
      <c r="O85" t="s">
        <v>74</v>
      </c>
      <c r="P85" t="s">
        <v>74</v>
      </c>
      <c r="Q85" t="s">
        <v>74</v>
      </c>
      <c r="R85" t="s">
        <v>74</v>
      </c>
      <c r="S85" t="s">
        <v>74</v>
      </c>
      <c r="T85" t="s">
        <v>1338</v>
      </c>
      <c r="U85" t="s">
        <v>1339</v>
      </c>
      <c r="V85" t="s">
        <v>1340</v>
      </c>
      <c r="W85" t="s">
        <v>1341</v>
      </c>
      <c r="X85" t="s">
        <v>1342</v>
      </c>
      <c r="Y85" t="s">
        <v>1343</v>
      </c>
      <c r="Z85" t="s">
        <v>1344</v>
      </c>
      <c r="AA85" t="s">
        <v>74</v>
      </c>
      <c r="AB85" t="s">
        <v>74</v>
      </c>
      <c r="AC85" t="s">
        <v>74</v>
      </c>
      <c r="AD85" t="s">
        <v>74</v>
      </c>
      <c r="AE85" t="s">
        <v>74</v>
      </c>
      <c r="AF85" t="s">
        <v>74</v>
      </c>
      <c r="AG85">
        <v>79</v>
      </c>
      <c r="AH85">
        <v>43</v>
      </c>
      <c r="AI85">
        <v>50</v>
      </c>
      <c r="AJ85">
        <v>0</v>
      </c>
      <c r="AK85">
        <v>9</v>
      </c>
      <c r="AL85" t="s">
        <v>1263</v>
      </c>
      <c r="AM85" t="s">
        <v>211</v>
      </c>
      <c r="AN85" t="s">
        <v>1264</v>
      </c>
      <c r="AO85" t="s">
        <v>1345</v>
      </c>
      <c r="AP85" t="s">
        <v>1346</v>
      </c>
      <c r="AQ85" t="s">
        <v>74</v>
      </c>
      <c r="AR85" t="s">
        <v>1347</v>
      </c>
      <c r="AS85" t="s">
        <v>1348</v>
      </c>
      <c r="AT85" t="s">
        <v>537</v>
      </c>
      <c r="AU85">
        <v>1999</v>
      </c>
      <c r="AV85">
        <v>154</v>
      </c>
      <c r="AW85">
        <v>3</v>
      </c>
      <c r="AX85" t="s">
        <v>74</v>
      </c>
      <c r="AY85" t="s">
        <v>74</v>
      </c>
      <c r="AZ85" t="s">
        <v>74</v>
      </c>
      <c r="BA85" t="s">
        <v>74</v>
      </c>
      <c r="BB85">
        <v>247</v>
      </c>
      <c r="BC85">
        <v>273</v>
      </c>
      <c r="BD85" t="s">
        <v>74</v>
      </c>
      <c r="BE85" t="s">
        <v>1349</v>
      </c>
      <c r="BF85" t="str">
        <f>HYPERLINK("http://dx.doi.org/10.1016/S0031-0182(99)00114-5","http://dx.doi.org/10.1016/S0031-0182(99)00114-5")</f>
        <v>http://dx.doi.org/10.1016/S0031-0182(99)00114-5</v>
      </c>
      <c r="BG85" t="s">
        <v>74</v>
      </c>
      <c r="BH85" t="s">
        <v>74</v>
      </c>
      <c r="BI85">
        <v>27</v>
      </c>
      <c r="BJ85" t="s">
        <v>1350</v>
      </c>
      <c r="BK85" t="s">
        <v>96</v>
      </c>
      <c r="BL85" t="s">
        <v>1351</v>
      </c>
      <c r="BM85" t="s">
        <v>1352</v>
      </c>
      <c r="BN85" t="s">
        <v>74</v>
      </c>
      <c r="BO85" t="s">
        <v>74</v>
      </c>
      <c r="BP85" t="s">
        <v>74</v>
      </c>
      <c r="BQ85" t="s">
        <v>74</v>
      </c>
      <c r="BR85" t="s">
        <v>99</v>
      </c>
      <c r="BS85" t="s">
        <v>1353</v>
      </c>
      <c r="BT85" t="str">
        <f>HYPERLINK("https%3A%2F%2Fwww.webofscience.com%2Fwos%2Fwoscc%2Ffull-record%2FWOS:000083560400007","View Full Record in Web of Science")</f>
        <v>View Full Record in Web of Science</v>
      </c>
    </row>
    <row r="86" spans="1:72" x14ac:dyDescent="0.15">
      <c r="A86" t="s">
        <v>72</v>
      </c>
      <c r="B86" t="s">
        <v>1354</v>
      </c>
      <c r="C86" t="s">
        <v>74</v>
      </c>
      <c r="D86" t="s">
        <v>74</v>
      </c>
      <c r="E86" t="s">
        <v>74</v>
      </c>
      <c r="F86" t="s">
        <v>1354</v>
      </c>
      <c r="G86" t="s">
        <v>74</v>
      </c>
      <c r="H86" t="s">
        <v>74</v>
      </c>
      <c r="I86" t="s">
        <v>1355</v>
      </c>
      <c r="J86" t="s">
        <v>1356</v>
      </c>
      <c r="K86" t="s">
        <v>74</v>
      </c>
      <c r="L86" t="s">
        <v>74</v>
      </c>
      <c r="M86" t="s">
        <v>77</v>
      </c>
      <c r="N86" t="s">
        <v>78</v>
      </c>
      <c r="O86" t="s">
        <v>74</v>
      </c>
      <c r="P86" t="s">
        <v>74</v>
      </c>
      <c r="Q86" t="s">
        <v>74</v>
      </c>
      <c r="R86" t="s">
        <v>74</v>
      </c>
      <c r="S86" t="s">
        <v>74</v>
      </c>
      <c r="T86" t="s">
        <v>1357</v>
      </c>
      <c r="U86" t="s">
        <v>74</v>
      </c>
      <c r="V86" t="s">
        <v>1358</v>
      </c>
      <c r="W86" t="s">
        <v>1359</v>
      </c>
      <c r="X86" t="s">
        <v>1360</v>
      </c>
      <c r="Y86" t="s">
        <v>1361</v>
      </c>
      <c r="Z86" t="s">
        <v>74</v>
      </c>
      <c r="AA86" t="s">
        <v>74</v>
      </c>
      <c r="AB86" t="s">
        <v>74</v>
      </c>
      <c r="AC86" t="s">
        <v>74</v>
      </c>
      <c r="AD86" t="s">
        <v>74</v>
      </c>
      <c r="AE86" t="s">
        <v>74</v>
      </c>
      <c r="AF86" t="s">
        <v>74</v>
      </c>
      <c r="AG86">
        <v>18</v>
      </c>
      <c r="AH86">
        <v>9</v>
      </c>
      <c r="AI86">
        <v>9</v>
      </c>
      <c r="AJ86">
        <v>0</v>
      </c>
      <c r="AK86">
        <v>4</v>
      </c>
      <c r="AL86" t="s">
        <v>1362</v>
      </c>
      <c r="AM86" t="s">
        <v>1363</v>
      </c>
      <c r="AN86" t="s">
        <v>1364</v>
      </c>
      <c r="AO86" t="s">
        <v>1365</v>
      </c>
      <c r="AP86" t="s">
        <v>74</v>
      </c>
      <c r="AQ86" t="s">
        <v>74</v>
      </c>
      <c r="AR86" t="s">
        <v>1366</v>
      </c>
      <c r="AS86" t="s">
        <v>1367</v>
      </c>
      <c r="AT86" t="s">
        <v>883</v>
      </c>
      <c r="AU86">
        <v>1999</v>
      </c>
      <c r="AV86">
        <v>20</v>
      </c>
      <c r="AW86">
        <v>6</v>
      </c>
      <c r="AX86" t="s">
        <v>74</v>
      </c>
      <c r="AY86" t="s">
        <v>74</v>
      </c>
      <c r="AZ86" t="s">
        <v>74</v>
      </c>
      <c r="BA86" t="s">
        <v>74</v>
      </c>
      <c r="BB86">
        <v>491</v>
      </c>
      <c r="BC86">
        <v>507</v>
      </c>
      <c r="BD86" t="s">
        <v>74</v>
      </c>
      <c r="BE86" t="s">
        <v>1368</v>
      </c>
      <c r="BF86" t="str">
        <f>HYPERLINK("http://dx.doi.org/10.1080/02723646.1999.10642692","http://dx.doi.org/10.1080/02723646.1999.10642692")</f>
        <v>http://dx.doi.org/10.1080/02723646.1999.10642692</v>
      </c>
      <c r="BG86" t="s">
        <v>74</v>
      </c>
      <c r="BH86" t="s">
        <v>74</v>
      </c>
      <c r="BI86">
        <v>17</v>
      </c>
      <c r="BJ86" t="s">
        <v>1369</v>
      </c>
      <c r="BK86" t="s">
        <v>96</v>
      </c>
      <c r="BL86" t="s">
        <v>1370</v>
      </c>
      <c r="BM86" t="s">
        <v>1371</v>
      </c>
      <c r="BN86" t="s">
        <v>74</v>
      </c>
      <c r="BO86" t="s">
        <v>74</v>
      </c>
      <c r="BP86" t="s">
        <v>74</v>
      </c>
      <c r="BQ86" t="s">
        <v>74</v>
      </c>
      <c r="BR86" t="s">
        <v>99</v>
      </c>
      <c r="BS86" t="s">
        <v>1372</v>
      </c>
      <c r="BT86" t="str">
        <f>HYPERLINK("https%3A%2F%2Fwww.webofscience.com%2Fwos%2Fwoscc%2Ffull-record%2FWOS:000087282100004","View Full Record in Web of Science")</f>
        <v>View Full Record in Web of Science</v>
      </c>
    </row>
    <row r="87" spans="1:72" x14ac:dyDescent="0.15">
      <c r="A87" t="s">
        <v>72</v>
      </c>
      <c r="B87" t="s">
        <v>1373</v>
      </c>
      <c r="C87" t="s">
        <v>74</v>
      </c>
      <c r="D87" t="s">
        <v>74</v>
      </c>
      <c r="E87" t="s">
        <v>74</v>
      </c>
      <c r="F87" t="s">
        <v>1373</v>
      </c>
      <c r="G87" t="s">
        <v>74</v>
      </c>
      <c r="H87" t="s">
        <v>74</v>
      </c>
      <c r="I87" t="s">
        <v>1374</v>
      </c>
      <c r="J87" t="s">
        <v>1375</v>
      </c>
      <c r="K87" t="s">
        <v>74</v>
      </c>
      <c r="L87" t="s">
        <v>74</v>
      </c>
      <c r="M87" t="s">
        <v>77</v>
      </c>
      <c r="N87" t="s">
        <v>78</v>
      </c>
      <c r="O87" t="s">
        <v>74</v>
      </c>
      <c r="P87" t="s">
        <v>74</v>
      </c>
      <c r="Q87" t="s">
        <v>74</v>
      </c>
      <c r="R87" t="s">
        <v>74</v>
      </c>
      <c r="S87" t="s">
        <v>74</v>
      </c>
      <c r="T87" t="s">
        <v>74</v>
      </c>
      <c r="U87" t="s">
        <v>1376</v>
      </c>
      <c r="V87" t="s">
        <v>1377</v>
      </c>
      <c r="W87" t="s">
        <v>151</v>
      </c>
      <c r="X87" t="s">
        <v>131</v>
      </c>
      <c r="Y87" t="s">
        <v>1378</v>
      </c>
      <c r="Z87" t="s">
        <v>74</v>
      </c>
      <c r="AA87" t="s">
        <v>74</v>
      </c>
      <c r="AB87" t="s">
        <v>74</v>
      </c>
      <c r="AC87" t="s">
        <v>74</v>
      </c>
      <c r="AD87" t="s">
        <v>74</v>
      </c>
      <c r="AE87" t="s">
        <v>74</v>
      </c>
      <c r="AF87" t="s">
        <v>74</v>
      </c>
      <c r="AG87">
        <v>60</v>
      </c>
      <c r="AH87">
        <v>24</v>
      </c>
      <c r="AI87">
        <v>25</v>
      </c>
      <c r="AJ87">
        <v>0</v>
      </c>
      <c r="AK87">
        <v>3</v>
      </c>
      <c r="AL87" t="s">
        <v>553</v>
      </c>
      <c r="AM87" t="s">
        <v>554</v>
      </c>
      <c r="AN87" t="s">
        <v>555</v>
      </c>
      <c r="AO87" t="s">
        <v>1379</v>
      </c>
      <c r="AP87" t="s">
        <v>74</v>
      </c>
      <c r="AQ87" t="s">
        <v>74</v>
      </c>
      <c r="AR87" t="s">
        <v>1380</v>
      </c>
      <c r="AS87" t="s">
        <v>1381</v>
      </c>
      <c r="AT87" t="s">
        <v>537</v>
      </c>
      <c r="AU87">
        <v>1999</v>
      </c>
      <c r="AV87">
        <v>22</v>
      </c>
      <c r="AW87">
        <v>5</v>
      </c>
      <c r="AX87" t="s">
        <v>74</v>
      </c>
      <c r="AY87" t="s">
        <v>74</v>
      </c>
      <c r="AZ87" t="s">
        <v>74</v>
      </c>
      <c r="BA87" t="s">
        <v>74</v>
      </c>
      <c r="BB87">
        <v>289</v>
      </c>
      <c r="BC87">
        <v>301</v>
      </c>
      <c r="BD87" t="s">
        <v>74</v>
      </c>
      <c r="BE87" t="s">
        <v>1382</v>
      </c>
      <c r="BF87" t="str">
        <f>HYPERLINK("http://dx.doi.org/10.1007/s003000050422","http://dx.doi.org/10.1007/s003000050422")</f>
        <v>http://dx.doi.org/10.1007/s003000050422</v>
      </c>
      <c r="BG87" t="s">
        <v>74</v>
      </c>
      <c r="BH87" t="s">
        <v>74</v>
      </c>
      <c r="BI87">
        <v>13</v>
      </c>
      <c r="BJ87" t="s">
        <v>1383</v>
      </c>
      <c r="BK87" t="s">
        <v>96</v>
      </c>
      <c r="BL87" t="s">
        <v>1384</v>
      </c>
      <c r="BM87" t="s">
        <v>1385</v>
      </c>
      <c r="BN87" t="s">
        <v>74</v>
      </c>
      <c r="BO87" t="s">
        <v>74</v>
      </c>
      <c r="BP87" t="s">
        <v>74</v>
      </c>
      <c r="BQ87" t="s">
        <v>74</v>
      </c>
      <c r="BR87" t="s">
        <v>99</v>
      </c>
      <c r="BS87" t="s">
        <v>1386</v>
      </c>
      <c r="BT87" t="str">
        <f>HYPERLINK("https%3A%2F%2Fwww.webofscience.com%2Fwos%2Fwoscc%2Ffull-record%2FWOS:000083378800001","View Full Record in Web of Science")</f>
        <v>View Full Record in Web of Science</v>
      </c>
    </row>
    <row r="88" spans="1:72" x14ac:dyDescent="0.15">
      <c r="A88" t="s">
        <v>72</v>
      </c>
      <c r="B88" t="s">
        <v>1387</v>
      </c>
      <c r="C88" t="s">
        <v>74</v>
      </c>
      <c r="D88" t="s">
        <v>74</v>
      </c>
      <c r="E88" t="s">
        <v>74</v>
      </c>
      <c r="F88" t="s">
        <v>1387</v>
      </c>
      <c r="G88" t="s">
        <v>74</v>
      </c>
      <c r="H88" t="s">
        <v>74</v>
      </c>
      <c r="I88" t="s">
        <v>1388</v>
      </c>
      <c r="J88" t="s">
        <v>1375</v>
      </c>
      <c r="K88" t="s">
        <v>74</v>
      </c>
      <c r="L88" t="s">
        <v>74</v>
      </c>
      <c r="M88" t="s">
        <v>77</v>
      </c>
      <c r="N88" t="s">
        <v>78</v>
      </c>
      <c r="O88" t="s">
        <v>74</v>
      </c>
      <c r="P88" t="s">
        <v>74</v>
      </c>
      <c r="Q88" t="s">
        <v>74</v>
      </c>
      <c r="R88" t="s">
        <v>74</v>
      </c>
      <c r="S88" t="s">
        <v>74</v>
      </c>
      <c r="T88" t="s">
        <v>74</v>
      </c>
      <c r="U88" t="s">
        <v>1389</v>
      </c>
      <c r="V88" t="s">
        <v>1390</v>
      </c>
      <c r="W88" t="s">
        <v>1391</v>
      </c>
      <c r="X88" t="s">
        <v>1392</v>
      </c>
      <c r="Y88" t="s">
        <v>1393</v>
      </c>
      <c r="Z88" t="s">
        <v>74</v>
      </c>
      <c r="AA88" t="s">
        <v>74</v>
      </c>
      <c r="AB88" t="s">
        <v>74</v>
      </c>
      <c r="AC88" t="s">
        <v>74</v>
      </c>
      <c r="AD88" t="s">
        <v>74</v>
      </c>
      <c r="AE88" t="s">
        <v>74</v>
      </c>
      <c r="AF88" t="s">
        <v>74</v>
      </c>
      <c r="AG88">
        <v>57</v>
      </c>
      <c r="AH88">
        <v>3</v>
      </c>
      <c r="AI88">
        <v>4</v>
      </c>
      <c r="AJ88">
        <v>0</v>
      </c>
      <c r="AK88">
        <v>5</v>
      </c>
      <c r="AL88" t="s">
        <v>553</v>
      </c>
      <c r="AM88" t="s">
        <v>554</v>
      </c>
      <c r="AN88" t="s">
        <v>555</v>
      </c>
      <c r="AO88" t="s">
        <v>1379</v>
      </c>
      <c r="AP88" t="s">
        <v>74</v>
      </c>
      <c r="AQ88" t="s">
        <v>74</v>
      </c>
      <c r="AR88" t="s">
        <v>1380</v>
      </c>
      <c r="AS88" t="s">
        <v>1381</v>
      </c>
      <c r="AT88" t="s">
        <v>537</v>
      </c>
      <c r="AU88">
        <v>1999</v>
      </c>
      <c r="AV88">
        <v>22</v>
      </c>
      <c r="AW88">
        <v>5</v>
      </c>
      <c r="AX88" t="s">
        <v>74</v>
      </c>
      <c r="AY88" t="s">
        <v>74</v>
      </c>
      <c r="AZ88" t="s">
        <v>74</v>
      </c>
      <c r="BA88" t="s">
        <v>74</v>
      </c>
      <c r="BB88">
        <v>311</v>
      </c>
      <c r="BC88">
        <v>321</v>
      </c>
      <c r="BD88" t="s">
        <v>74</v>
      </c>
      <c r="BE88" t="s">
        <v>1394</v>
      </c>
      <c r="BF88" t="str">
        <f>HYPERLINK("http://dx.doi.org/10.1007/s003000050424","http://dx.doi.org/10.1007/s003000050424")</f>
        <v>http://dx.doi.org/10.1007/s003000050424</v>
      </c>
      <c r="BG88" t="s">
        <v>74</v>
      </c>
      <c r="BH88" t="s">
        <v>74</v>
      </c>
      <c r="BI88">
        <v>11</v>
      </c>
      <c r="BJ88" t="s">
        <v>1383</v>
      </c>
      <c r="BK88" t="s">
        <v>96</v>
      </c>
      <c r="BL88" t="s">
        <v>1384</v>
      </c>
      <c r="BM88" t="s">
        <v>1385</v>
      </c>
      <c r="BN88" t="s">
        <v>74</v>
      </c>
      <c r="BO88" t="s">
        <v>74</v>
      </c>
      <c r="BP88" t="s">
        <v>74</v>
      </c>
      <c r="BQ88" t="s">
        <v>74</v>
      </c>
      <c r="BR88" t="s">
        <v>99</v>
      </c>
      <c r="BS88" t="s">
        <v>1395</v>
      </c>
      <c r="BT88" t="str">
        <f>HYPERLINK("https%3A%2F%2Fwww.webofscience.com%2Fwos%2Fwoscc%2Ffull-record%2FWOS:000083378800003","View Full Record in Web of Science")</f>
        <v>View Full Record in Web of Science</v>
      </c>
    </row>
    <row r="89" spans="1:72" x14ac:dyDescent="0.15">
      <c r="A89" t="s">
        <v>72</v>
      </c>
      <c r="B89" t="s">
        <v>1396</v>
      </c>
      <c r="C89" t="s">
        <v>74</v>
      </c>
      <c r="D89" t="s">
        <v>74</v>
      </c>
      <c r="E89" t="s">
        <v>74</v>
      </c>
      <c r="F89" t="s">
        <v>1396</v>
      </c>
      <c r="G89" t="s">
        <v>74</v>
      </c>
      <c r="H89" t="s">
        <v>74</v>
      </c>
      <c r="I89" t="s">
        <v>1397</v>
      </c>
      <c r="J89" t="s">
        <v>1375</v>
      </c>
      <c r="K89" t="s">
        <v>74</v>
      </c>
      <c r="L89" t="s">
        <v>74</v>
      </c>
      <c r="M89" t="s">
        <v>77</v>
      </c>
      <c r="N89" t="s">
        <v>78</v>
      </c>
      <c r="O89" t="s">
        <v>74</v>
      </c>
      <c r="P89" t="s">
        <v>74</v>
      </c>
      <c r="Q89" t="s">
        <v>74</v>
      </c>
      <c r="R89" t="s">
        <v>74</v>
      </c>
      <c r="S89" t="s">
        <v>74</v>
      </c>
      <c r="T89" t="s">
        <v>74</v>
      </c>
      <c r="U89" t="s">
        <v>1398</v>
      </c>
      <c r="V89" t="s">
        <v>1399</v>
      </c>
      <c r="W89" t="s">
        <v>1400</v>
      </c>
      <c r="X89" t="s">
        <v>1401</v>
      </c>
      <c r="Y89" t="s">
        <v>1402</v>
      </c>
      <c r="Z89" t="s">
        <v>74</v>
      </c>
      <c r="AA89" t="s">
        <v>1403</v>
      </c>
      <c r="AB89" t="s">
        <v>74</v>
      </c>
      <c r="AC89" t="s">
        <v>74</v>
      </c>
      <c r="AD89" t="s">
        <v>74</v>
      </c>
      <c r="AE89" t="s">
        <v>74</v>
      </c>
      <c r="AF89" t="s">
        <v>74</v>
      </c>
      <c r="AG89">
        <v>61</v>
      </c>
      <c r="AH89">
        <v>13</v>
      </c>
      <c r="AI89">
        <v>13</v>
      </c>
      <c r="AJ89">
        <v>0</v>
      </c>
      <c r="AK89">
        <v>6</v>
      </c>
      <c r="AL89" t="s">
        <v>553</v>
      </c>
      <c r="AM89" t="s">
        <v>554</v>
      </c>
      <c r="AN89" t="s">
        <v>555</v>
      </c>
      <c r="AO89" t="s">
        <v>1379</v>
      </c>
      <c r="AP89" t="s">
        <v>74</v>
      </c>
      <c r="AQ89" t="s">
        <v>74</v>
      </c>
      <c r="AR89" t="s">
        <v>1380</v>
      </c>
      <c r="AS89" t="s">
        <v>1381</v>
      </c>
      <c r="AT89" t="s">
        <v>537</v>
      </c>
      <c r="AU89">
        <v>1999</v>
      </c>
      <c r="AV89">
        <v>22</v>
      </c>
      <c r="AW89">
        <v>5</v>
      </c>
      <c r="AX89" t="s">
        <v>74</v>
      </c>
      <c r="AY89" t="s">
        <v>74</v>
      </c>
      <c r="AZ89" t="s">
        <v>74</v>
      </c>
      <c r="BA89" t="s">
        <v>74</v>
      </c>
      <c r="BB89">
        <v>329</v>
      </c>
      <c r="BC89">
        <v>340</v>
      </c>
      <c r="BD89" t="s">
        <v>74</v>
      </c>
      <c r="BE89" t="s">
        <v>1404</v>
      </c>
      <c r="BF89" t="str">
        <f>HYPERLINK("http://dx.doi.org/10.1007/s003000050426","http://dx.doi.org/10.1007/s003000050426")</f>
        <v>http://dx.doi.org/10.1007/s003000050426</v>
      </c>
      <c r="BG89" t="s">
        <v>74</v>
      </c>
      <c r="BH89" t="s">
        <v>74</v>
      </c>
      <c r="BI89">
        <v>12</v>
      </c>
      <c r="BJ89" t="s">
        <v>1383</v>
      </c>
      <c r="BK89" t="s">
        <v>96</v>
      </c>
      <c r="BL89" t="s">
        <v>1384</v>
      </c>
      <c r="BM89" t="s">
        <v>1385</v>
      </c>
      <c r="BN89" t="s">
        <v>74</v>
      </c>
      <c r="BO89" t="s">
        <v>74</v>
      </c>
      <c r="BP89" t="s">
        <v>74</v>
      </c>
      <c r="BQ89" t="s">
        <v>74</v>
      </c>
      <c r="BR89" t="s">
        <v>99</v>
      </c>
      <c r="BS89" t="s">
        <v>1405</v>
      </c>
      <c r="BT89" t="str">
        <f>HYPERLINK("https%3A%2F%2Fwww.webofscience.com%2Fwos%2Fwoscc%2Ffull-record%2FWOS:000083378800005","View Full Record in Web of Science")</f>
        <v>View Full Record in Web of Science</v>
      </c>
    </row>
    <row r="90" spans="1:72" x14ac:dyDescent="0.15">
      <c r="A90" t="s">
        <v>72</v>
      </c>
      <c r="B90" t="s">
        <v>1406</v>
      </c>
      <c r="C90" t="s">
        <v>74</v>
      </c>
      <c r="D90" t="s">
        <v>74</v>
      </c>
      <c r="E90" t="s">
        <v>74</v>
      </c>
      <c r="F90" t="s">
        <v>1406</v>
      </c>
      <c r="G90" t="s">
        <v>74</v>
      </c>
      <c r="H90" t="s">
        <v>74</v>
      </c>
      <c r="I90" t="s">
        <v>1407</v>
      </c>
      <c r="J90" t="s">
        <v>1375</v>
      </c>
      <c r="K90" t="s">
        <v>74</v>
      </c>
      <c r="L90" t="s">
        <v>74</v>
      </c>
      <c r="M90" t="s">
        <v>77</v>
      </c>
      <c r="N90" t="s">
        <v>78</v>
      </c>
      <c r="O90" t="s">
        <v>74</v>
      </c>
      <c r="P90" t="s">
        <v>74</v>
      </c>
      <c r="Q90" t="s">
        <v>74</v>
      </c>
      <c r="R90" t="s">
        <v>74</v>
      </c>
      <c r="S90" t="s">
        <v>74</v>
      </c>
      <c r="T90" t="s">
        <v>74</v>
      </c>
      <c r="U90" t="s">
        <v>1408</v>
      </c>
      <c r="V90" t="s">
        <v>1409</v>
      </c>
      <c r="W90" t="s">
        <v>1410</v>
      </c>
      <c r="X90" t="s">
        <v>1411</v>
      </c>
      <c r="Y90" t="s">
        <v>1412</v>
      </c>
      <c r="Z90" t="s">
        <v>74</v>
      </c>
      <c r="AA90" t="s">
        <v>74</v>
      </c>
      <c r="AB90" t="s">
        <v>74</v>
      </c>
      <c r="AC90" t="s">
        <v>74</v>
      </c>
      <c r="AD90" t="s">
        <v>74</v>
      </c>
      <c r="AE90" t="s">
        <v>74</v>
      </c>
      <c r="AF90" t="s">
        <v>74</v>
      </c>
      <c r="AG90">
        <v>30</v>
      </c>
      <c r="AH90">
        <v>35</v>
      </c>
      <c r="AI90">
        <v>39</v>
      </c>
      <c r="AJ90">
        <v>0</v>
      </c>
      <c r="AK90">
        <v>14</v>
      </c>
      <c r="AL90" t="s">
        <v>553</v>
      </c>
      <c r="AM90" t="s">
        <v>554</v>
      </c>
      <c r="AN90" t="s">
        <v>555</v>
      </c>
      <c r="AO90" t="s">
        <v>1379</v>
      </c>
      <c r="AP90" t="s">
        <v>74</v>
      </c>
      <c r="AQ90" t="s">
        <v>74</v>
      </c>
      <c r="AR90" t="s">
        <v>1380</v>
      </c>
      <c r="AS90" t="s">
        <v>1381</v>
      </c>
      <c r="AT90" t="s">
        <v>537</v>
      </c>
      <c r="AU90">
        <v>1999</v>
      </c>
      <c r="AV90">
        <v>22</v>
      </c>
      <c r="AW90">
        <v>5</v>
      </c>
      <c r="AX90" t="s">
        <v>74</v>
      </c>
      <c r="AY90" t="s">
        <v>74</v>
      </c>
      <c r="AZ90" t="s">
        <v>74</v>
      </c>
      <c r="BA90" t="s">
        <v>74</v>
      </c>
      <c r="BB90">
        <v>341</v>
      </c>
      <c r="BC90">
        <v>349</v>
      </c>
      <c r="BD90" t="s">
        <v>74</v>
      </c>
      <c r="BE90" t="s">
        <v>1413</v>
      </c>
      <c r="BF90" t="str">
        <f>HYPERLINK("http://dx.doi.org/10.1007/s003000050427","http://dx.doi.org/10.1007/s003000050427")</f>
        <v>http://dx.doi.org/10.1007/s003000050427</v>
      </c>
      <c r="BG90" t="s">
        <v>74</v>
      </c>
      <c r="BH90" t="s">
        <v>74</v>
      </c>
      <c r="BI90">
        <v>9</v>
      </c>
      <c r="BJ90" t="s">
        <v>1383</v>
      </c>
      <c r="BK90" t="s">
        <v>96</v>
      </c>
      <c r="BL90" t="s">
        <v>1384</v>
      </c>
      <c r="BM90" t="s">
        <v>1385</v>
      </c>
      <c r="BN90" t="s">
        <v>74</v>
      </c>
      <c r="BO90" t="s">
        <v>74</v>
      </c>
      <c r="BP90" t="s">
        <v>74</v>
      </c>
      <c r="BQ90" t="s">
        <v>74</v>
      </c>
      <c r="BR90" t="s">
        <v>99</v>
      </c>
      <c r="BS90" t="s">
        <v>1414</v>
      </c>
      <c r="BT90" t="str">
        <f>HYPERLINK("https%3A%2F%2Fwww.webofscience.com%2Fwos%2Fwoscc%2Ffull-record%2FWOS:000083378800006","View Full Record in Web of Science")</f>
        <v>View Full Record in Web of Science</v>
      </c>
    </row>
    <row r="91" spans="1:72" x14ac:dyDescent="0.15">
      <c r="A91" t="s">
        <v>72</v>
      </c>
      <c r="B91" t="s">
        <v>1415</v>
      </c>
      <c r="C91" t="s">
        <v>74</v>
      </c>
      <c r="D91" t="s">
        <v>74</v>
      </c>
      <c r="E91" t="s">
        <v>74</v>
      </c>
      <c r="F91" t="s">
        <v>1415</v>
      </c>
      <c r="G91" t="s">
        <v>74</v>
      </c>
      <c r="H91" t="s">
        <v>74</v>
      </c>
      <c r="I91" t="s">
        <v>1416</v>
      </c>
      <c r="J91" t="s">
        <v>1417</v>
      </c>
      <c r="K91" t="s">
        <v>74</v>
      </c>
      <c r="L91" t="s">
        <v>74</v>
      </c>
      <c r="M91" t="s">
        <v>77</v>
      </c>
      <c r="N91" t="s">
        <v>78</v>
      </c>
      <c r="O91" t="s">
        <v>74</v>
      </c>
      <c r="P91" t="s">
        <v>74</v>
      </c>
      <c r="Q91" t="s">
        <v>74</v>
      </c>
      <c r="R91" t="s">
        <v>74</v>
      </c>
      <c r="S91" t="s">
        <v>74</v>
      </c>
      <c r="T91" t="s">
        <v>1418</v>
      </c>
      <c r="U91" t="s">
        <v>1419</v>
      </c>
      <c r="V91" t="s">
        <v>1420</v>
      </c>
      <c r="W91" t="s">
        <v>1421</v>
      </c>
      <c r="X91" t="s">
        <v>1422</v>
      </c>
      <c r="Y91" t="s">
        <v>1423</v>
      </c>
      <c r="Z91" t="s">
        <v>1424</v>
      </c>
      <c r="AA91" t="s">
        <v>1425</v>
      </c>
      <c r="AB91" t="s">
        <v>1426</v>
      </c>
      <c r="AC91" t="s">
        <v>74</v>
      </c>
      <c r="AD91" t="s">
        <v>74</v>
      </c>
      <c r="AE91" t="s">
        <v>74</v>
      </c>
      <c r="AF91" t="s">
        <v>74</v>
      </c>
      <c r="AG91">
        <v>36</v>
      </c>
      <c r="AH91">
        <v>17</v>
      </c>
      <c r="AI91">
        <v>26</v>
      </c>
      <c r="AJ91">
        <v>2</v>
      </c>
      <c r="AK91">
        <v>15</v>
      </c>
      <c r="AL91" t="s">
        <v>1427</v>
      </c>
      <c r="AM91" t="s">
        <v>276</v>
      </c>
      <c r="AN91" t="s">
        <v>1428</v>
      </c>
      <c r="AO91" t="s">
        <v>1429</v>
      </c>
      <c r="AP91" t="s">
        <v>74</v>
      </c>
      <c r="AQ91" t="s">
        <v>74</v>
      </c>
      <c r="AR91" t="s">
        <v>1430</v>
      </c>
      <c r="AS91" t="s">
        <v>1431</v>
      </c>
      <c r="AT91" t="s">
        <v>537</v>
      </c>
      <c r="AU91">
        <v>1999</v>
      </c>
      <c r="AV91">
        <v>35</v>
      </c>
      <c r="AW91" t="s">
        <v>141</v>
      </c>
      <c r="AX91" t="s">
        <v>74</v>
      </c>
      <c r="AY91" t="s">
        <v>74</v>
      </c>
      <c r="AZ91" t="s">
        <v>74</v>
      </c>
      <c r="BA91" t="s">
        <v>74</v>
      </c>
      <c r="BB91">
        <v>327</v>
      </c>
      <c r="BC91">
        <v>333</v>
      </c>
      <c r="BD91" t="s">
        <v>74</v>
      </c>
      <c r="BE91" t="s">
        <v>1432</v>
      </c>
      <c r="BF91" t="str">
        <f>HYPERLINK("http://dx.doi.org/10.1016/S0032-9592(99)00075-8","http://dx.doi.org/10.1016/S0032-9592(99)00075-8")</f>
        <v>http://dx.doi.org/10.1016/S0032-9592(99)00075-8</v>
      </c>
      <c r="BG91" t="s">
        <v>74</v>
      </c>
      <c r="BH91" t="s">
        <v>74</v>
      </c>
      <c r="BI91">
        <v>7</v>
      </c>
      <c r="BJ91" t="s">
        <v>1433</v>
      </c>
      <c r="BK91" t="s">
        <v>96</v>
      </c>
      <c r="BL91" t="s">
        <v>1434</v>
      </c>
      <c r="BM91" t="s">
        <v>1435</v>
      </c>
      <c r="BN91" t="s">
        <v>74</v>
      </c>
      <c r="BO91" t="s">
        <v>74</v>
      </c>
      <c r="BP91" t="s">
        <v>74</v>
      </c>
      <c r="BQ91" t="s">
        <v>74</v>
      </c>
      <c r="BR91" t="s">
        <v>99</v>
      </c>
      <c r="BS91" t="s">
        <v>1436</v>
      </c>
      <c r="BT91" t="str">
        <f>HYPERLINK("https%3A%2F%2Fwww.webofscience.com%2Fwos%2Fwoscc%2Ffull-record%2FWOS:000083653200014","View Full Record in Web of Science")</f>
        <v>View Full Record in Web of Science</v>
      </c>
    </row>
    <row r="92" spans="1:72" x14ac:dyDescent="0.15">
      <c r="A92" t="s">
        <v>72</v>
      </c>
      <c r="B92" t="s">
        <v>1437</v>
      </c>
      <c r="C92" t="s">
        <v>74</v>
      </c>
      <c r="D92" t="s">
        <v>74</v>
      </c>
      <c r="E92" t="s">
        <v>74</v>
      </c>
      <c r="F92" t="s">
        <v>1437</v>
      </c>
      <c r="G92" t="s">
        <v>74</v>
      </c>
      <c r="H92" t="s">
        <v>74</v>
      </c>
      <c r="I92" t="s">
        <v>1438</v>
      </c>
      <c r="J92" t="s">
        <v>1439</v>
      </c>
      <c r="K92" t="s">
        <v>74</v>
      </c>
      <c r="L92" t="s">
        <v>74</v>
      </c>
      <c r="M92" t="s">
        <v>77</v>
      </c>
      <c r="N92" t="s">
        <v>78</v>
      </c>
      <c r="O92" t="s">
        <v>74</v>
      </c>
      <c r="P92" t="s">
        <v>74</v>
      </c>
      <c r="Q92" t="s">
        <v>74</v>
      </c>
      <c r="R92" t="s">
        <v>74</v>
      </c>
      <c r="S92" t="s">
        <v>74</v>
      </c>
      <c r="T92" t="s">
        <v>1440</v>
      </c>
      <c r="U92" t="s">
        <v>1441</v>
      </c>
      <c r="V92" t="s">
        <v>1442</v>
      </c>
      <c r="W92" t="s">
        <v>1443</v>
      </c>
      <c r="X92" t="s">
        <v>1444</v>
      </c>
      <c r="Y92" t="s">
        <v>1445</v>
      </c>
      <c r="Z92" t="s">
        <v>1446</v>
      </c>
      <c r="AA92" t="s">
        <v>74</v>
      </c>
      <c r="AB92" t="s">
        <v>74</v>
      </c>
      <c r="AC92" t="s">
        <v>74</v>
      </c>
      <c r="AD92" t="s">
        <v>74</v>
      </c>
      <c r="AE92" t="s">
        <v>74</v>
      </c>
      <c r="AF92" t="s">
        <v>74</v>
      </c>
      <c r="AG92">
        <v>57</v>
      </c>
      <c r="AH92">
        <v>15</v>
      </c>
      <c r="AI92">
        <v>15</v>
      </c>
      <c r="AJ92">
        <v>0</v>
      </c>
      <c r="AK92">
        <v>1</v>
      </c>
      <c r="AL92" t="s">
        <v>210</v>
      </c>
      <c r="AM92" t="s">
        <v>211</v>
      </c>
      <c r="AN92" t="s">
        <v>212</v>
      </c>
      <c r="AO92" t="s">
        <v>1447</v>
      </c>
      <c r="AP92" t="s">
        <v>74</v>
      </c>
      <c r="AQ92" t="s">
        <v>74</v>
      </c>
      <c r="AR92" t="s">
        <v>1448</v>
      </c>
      <c r="AS92" t="s">
        <v>1449</v>
      </c>
      <c r="AT92" t="s">
        <v>537</v>
      </c>
      <c r="AU92">
        <v>1999</v>
      </c>
      <c r="AV92">
        <v>107</v>
      </c>
      <c r="AW92" t="s">
        <v>141</v>
      </c>
      <c r="AX92" t="s">
        <v>74</v>
      </c>
      <c r="AY92" t="s">
        <v>74</v>
      </c>
      <c r="AZ92" t="s">
        <v>74</v>
      </c>
      <c r="BA92" t="s">
        <v>74</v>
      </c>
      <c r="BB92">
        <v>265</v>
      </c>
      <c r="BC92">
        <v>281</v>
      </c>
      <c r="BD92" t="s">
        <v>74</v>
      </c>
      <c r="BE92" t="s">
        <v>1450</v>
      </c>
      <c r="BF92" t="str">
        <f>HYPERLINK("http://dx.doi.org/10.1016/S0034-6667(99)00023-8","http://dx.doi.org/10.1016/S0034-6667(99)00023-8")</f>
        <v>http://dx.doi.org/10.1016/S0034-6667(99)00023-8</v>
      </c>
      <c r="BG92" t="s">
        <v>74</v>
      </c>
      <c r="BH92" t="s">
        <v>74</v>
      </c>
      <c r="BI92">
        <v>17</v>
      </c>
      <c r="BJ92" t="s">
        <v>1451</v>
      </c>
      <c r="BK92" t="s">
        <v>96</v>
      </c>
      <c r="BL92" t="s">
        <v>1451</v>
      </c>
      <c r="BM92" t="s">
        <v>1452</v>
      </c>
      <c r="BN92" t="s">
        <v>74</v>
      </c>
      <c r="BO92" t="s">
        <v>74</v>
      </c>
      <c r="BP92" t="s">
        <v>74</v>
      </c>
      <c r="BQ92" t="s">
        <v>74</v>
      </c>
      <c r="BR92" t="s">
        <v>99</v>
      </c>
      <c r="BS92" t="s">
        <v>1453</v>
      </c>
      <c r="BT92" t="str">
        <f>HYPERLINK("https%3A%2F%2Fwww.webofscience.com%2Fwos%2Fwoscc%2Ffull-record%2FWOS:000084075800008","View Full Record in Web of Science")</f>
        <v>View Full Record in Web of Science</v>
      </c>
    </row>
    <row r="93" spans="1:72" x14ac:dyDescent="0.15">
      <c r="A93" t="s">
        <v>72</v>
      </c>
      <c r="B93" t="s">
        <v>1454</v>
      </c>
      <c r="C93" t="s">
        <v>74</v>
      </c>
      <c r="D93" t="s">
        <v>74</v>
      </c>
      <c r="E93" t="s">
        <v>74</v>
      </c>
      <c r="F93" t="s">
        <v>1454</v>
      </c>
      <c r="G93" t="s">
        <v>74</v>
      </c>
      <c r="H93" t="s">
        <v>74</v>
      </c>
      <c r="I93" t="s">
        <v>1455</v>
      </c>
      <c r="J93" t="s">
        <v>1456</v>
      </c>
      <c r="K93" t="s">
        <v>74</v>
      </c>
      <c r="L93" t="s">
        <v>74</v>
      </c>
      <c r="M93" t="s">
        <v>77</v>
      </c>
      <c r="N93" t="s">
        <v>78</v>
      </c>
      <c r="O93" t="s">
        <v>74</v>
      </c>
      <c r="P93" t="s">
        <v>74</v>
      </c>
      <c r="Q93" t="s">
        <v>74</v>
      </c>
      <c r="R93" t="s">
        <v>74</v>
      </c>
      <c r="S93" t="s">
        <v>74</v>
      </c>
      <c r="T93" t="s">
        <v>1457</v>
      </c>
      <c r="U93" t="s">
        <v>1458</v>
      </c>
      <c r="V93" t="s">
        <v>1459</v>
      </c>
      <c r="W93" t="s">
        <v>1460</v>
      </c>
      <c r="X93" t="s">
        <v>1461</v>
      </c>
      <c r="Y93" t="s">
        <v>1462</v>
      </c>
      <c r="Z93" t="s">
        <v>74</v>
      </c>
      <c r="AA93" t="s">
        <v>74</v>
      </c>
      <c r="AB93" t="s">
        <v>74</v>
      </c>
      <c r="AC93" t="s">
        <v>74</v>
      </c>
      <c r="AD93" t="s">
        <v>74</v>
      </c>
      <c r="AE93" t="s">
        <v>74</v>
      </c>
      <c r="AF93" t="s">
        <v>74</v>
      </c>
      <c r="AG93">
        <v>19</v>
      </c>
      <c r="AH93">
        <v>31</v>
      </c>
      <c r="AI93">
        <v>32</v>
      </c>
      <c r="AJ93">
        <v>0</v>
      </c>
      <c r="AK93">
        <v>13</v>
      </c>
      <c r="AL93" t="s">
        <v>275</v>
      </c>
      <c r="AM93" t="s">
        <v>276</v>
      </c>
      <c r="AN93" t="s">
        <v>277</v>
      </c>
      <c r="AO93" t="s">
        <v>1463</v>
      </c>
      <c r="AP93" t="s">
        <v>74</v>
      </c>
      <c r="AQ93" t="s">
        <v>74</v>
      </c>
      <c r="AR93" t="s">
        <v>1464</v>
      </c>
      <c r="AS93" t="s">
        <v>1465</v>
      </c>
      <c r="AT93" t="s">
        <v>537</v>
      </c>
      <c r="AU93">
        <v>1999</v>
      </c>
      <c r="AV93">
        <v>55</v>
      </c>
      <c r="AW93">
        <v>13</v>
      </c>
      <c r="AX93" t="s">
        <v>74</v>
      </c>
      <c r="AY93" t="s">
        <v>74</v>
      </c>
      <c r="AZ93" t="s">
        <v>74</v>
      </c>
      <c r="BA93" t="s">
        <v>74</v>
      </c>
      <c r="BB93">
        <v>2691</v>
      </c>
      <c r="BC93">
        <v>2703</v>
      </c>
      <c r="BD93" t="s">
        <v>74</v>
      </c>
      <c r="BE93" t="s">
        <v>1466</v>
      </c>
      <c r="BF93" t="str">
        <f>HYPERLINK("http://dx.doi.org/10.1016/S1386-1425(99)00099-2","http://dx.doi.org/10.1016/S1386-1425(99)00099-2")</f>
        <v>http://dx.doi.org/10.1016/S1386-1425(99)00099-2</v>
      </c>
      <c r="BG93" t="s">
        <v>74</v>
      </c>
      <c r="BH93" t="s">
        <v>74</v>
      </c>
      <c r="BI93">
        <v>13</v>
      </c>
      <c r="BJ93" t="s">
        <v>1467</v>
      </c>
      <c r="BK93" t="s">
        <v>96</v>
      </c>
      <c r="BL93" t="s">
        <v>1467</v>
      </c>
      <c r="BM93" t="s">
        <v>1468</v>
      </c>
      <c r="BN93" t="s">
        <v>74</v>
      </c>
      <c r="BO93" t="s">
        <v>74</v>
      </c>
      <c r="BP93" t="s">
        <v>74</v>
      </c>
      <c r="BQ93" t="s">
        <v>74</v>
      </c>
      <c r="BR93" t="s">
        <v>99</v>
      </c>
      <c r="BS93" t="s">
        <v>1469</v>
      </c>
      <c r="BT93" t="str">
        <f>HYPERLINK("https%3A%2F%2Fwww.webofscience.com%2Fwos%2Fwoscc%2Ffull-record%2FWOS:000083796100013","View Full Record in Web of Science")</f>
        <v>View Full Record in Web of Science</v>
      </c>
    </row>
    <row r="94" spans="1:72" x14ac:dyDescent="0.15">
      <c r="A94" t="s">
        <v>72</v>
      </c>
      <c r="B94" t="s">
        <v>1470</v>
      </c>
      <c r="C94" t="s">
        <v>74</v>
      </c>
      <c r="D94" t="s">
        <v>74</v>
      </c>
      <c r="E94" t="s">
        <v>74</v>
      </c>
      <c r="F94" t="s">
        <v>1470</v>
      </c>
      <c r="G94" t="s">
        <v>74</v>
      </c>
      <c r="H94" t="s">
        <v>74</v>
      </c>
      <c r="I94" t="s">
        <v>1471</v>
      </c>
      <c r="J94" t="s">
        <v>1472</v>
      </c>
      <c r="K94" t="s">
        <v>74</v>
      </c>
      <c r="L94" t="s">
        <v>74</v>
      </c>
      <c r="M94" t="s">
        <v>77</v>
      </c>
      <c r="N94" t="s">
        <v>205</v>
      </c>
      <c r="O94" t="s">
        <v>74</v>
      </c>
      <c r="P94" t="s">
        <v>74</v>
      </c>
      <c r="Q94" t="s">
        <v>74</v>
      </c>
      <c r="R94" t="s">
        <v>74</v>
      </c>
      <c r="S94" t="s">
        <v>74</v>
      </c>
      <c r="T94" t="s">
        <v>74</v>
      </c>
      <c r="U94" t="s">
        <v>74</v>
      </c>
      <c r="V94" t="s">
        <v>74</v>
      </c>
      <c r="W94" t="s">
        <v>74</v>
      </c>
      <c r="X94" t="s">
        <v>74</v>
      </c>
      <c r="Y94" t="s">
        <v>74</v>
      </c>
      <c r="Z94" t="s">
        <v>74</v>
      </c>
      <c r="AA94" t="s">
        <v>74</v>
      </c>
      <c r="AB94" t="s">
        <v>74</v>
      </c>
      <c r="AC94" t="s">
        <v>74</v>
      </c>
      <c r="AD94" t="s">
        <v>74</v>
      </c>
      <c r="AE94" t="s">
        <v>74</v>
      </c>
      <c r="AF94" t="s">
        <v>74</v>
      </c>
      <c r="AG94">
        <v>2</v>
      </c>
      <c r="AH94">
        <v>3</v>
      </c>
      <c r="AI94">
        <v>3</v>
      </c>
      <c r="AJ94">
        <v>0</v>
      </c>
      <c r="AK94">
        <v>0</v>
      </c>
      <c r="AL94" t="s">
        <v>1473</v>
      </c>
      <c r="AM94" t="s">
        <v>554</v>
      </c>
      <c r="AN94" t="s">
        <v>1474</v>
      </c>
      <c r="AO94" t="s">
        <v>1475</v>
      </c>
      <c r="AP94" t="s">
        <v>74</v>
      </c>
      <c r="AQ94" t="s">
        <v>74</v>
      </c>
      <c r="AR94" t="s">
        <v>1476</v>
      </c>
      <c r="AS94" t="s">
        <v>1477</v>
      </c>
      <c r="AT94" t="s">
        <v>1478</v>
      </c>
      <c r="AU94">
        <v>1999</v>
      </c>
      <c r="AV94" t="s">
        <v>74</v>
      </c>
      <c r="AW94" t="s">
        <v>74</v>
      </c>
      <c r="AX94" t="s">
        <v>74</v>
      </c>
      <c r="AY94" t="s">
        <v>74</v>
      </c>
      <c r="AZ94" t="s">
        <v>74</v>
      </c>
      <c r="BA94" t="s">
        <v>74</v>
      </c>
      <c r="BB94">
        <v>43</v>
      </c>
      <c r="BC94">
        <v>43</v>
      </c>
      <c r="BD94" t="s">
        <v>74</v>
      </c>
      <c r="BE94" t="s">
        <v>74</v>
      </c>
      <c r="BF94" t="s">
        <v>74</v>
      </c>
      <c r="BG94" t="s">
        <v>74</v>
      </c>
      <c r="BH94" t="s">
        <v>74</v>
      </c>
      <c r="BI94">
        <v>1</v>
      </c>
      <c r="BJ94" t="s">
        <v>1479</v>
      </c>
      <c r="BK94" t="s">
        <v>1281</v>
      </c>
      <c r="BL94" t="s">
        <v>1480</v>
      </c>
      <c r="BM94" t="s">
        <v>1481</v>
      </c>
      <c r="BN94" t="s">
        <v>74</v>
      </c>
      <c r="BO94" t="s">
        <v>74</v>
      </c>
      <c r="BP94" t="s">
        <v>74</v>
      </c>
      <c r="BQ94" t="s">
        <v>74</v>
      </c>
      <c r="BR94" t="s">
        <v>99</v>
      </c>
      <c r="BS94" t="s">
        <v>1482</v>
      </c>
      <c r="BT94" t="str">
        <f>HYPERLINK("https%3A%2F%2Fwww.webofscience.com%2Fwos%2Fwoscc%2Ffull-record%2FWOS:000083257700037","View Full Record in Web of Science")</f>
        <v>View Full Record in Web of Science</v>
      </c>
    </row>
    <row r="95" spans="1:72" x14ac:dyDescent="0.15">
      <c r="A95" t="s">
        <v>72</v>
      </c>
      <c r="B95" t="s">
        <v>1483</v>
      </c>
      <c r="C95" t="s">
        <v>74</v>
      </c>
      <c r="D95" t="s">
        <v>74</v>
      </c>
      <c r="E95" t="s">
        <v>74</v>
      </c>
      <c r="F95" t="s">
        <v>1483</v>
      </c>
      <c r="G95" t="s">
        <v>74</v>
      </c>
      <c r="H95" t="s">
        <v>74</v>
      </c>
      <c r="I95" t="s">
        <v>1484</v>
      </c>
      <c r="J95" t="s">
        <v>359</v>
      </c>
      <c r="K95" t="s">
        <v>74</v>
      </c>
      <c r="L95" t="s">
        <v>74</v>
      </c>
      <c r="M95" t="s">
        <v>77</v>
      </c>
      <c r="N95" t="s">
        <v>78</v>
      </c>
      <c r="O95" t="s">
        <v>74</v>
      </c>
      <c r="P95" t="s">
        <v>74</v>
      </c>
      <c r="Q95" t="s">
        <v>74</v>
      </c>
      <c r="R95" t="s">
        <v>74</v>
      </c>
      <c r="S95" t="s">
        <v>74</v>
      </c>
      <c r="T95" t="s">
        <v>74</v>
      </c>
      <c r="U95" t="s">
        <v>1485</v>
      </c>
      <c r="V95" t="s">
        <v>1486</v>
      </c>
      <c r="W95" t="s">
        <v>1487</v>
      </c>
      <c r="X95" t="s">
        <v>1488</v>
      </c>
      <c r="Y95" t="s">
        <v>1489</v>
      </c>
      <c r="Z95" t="s">
        <v>74</v>
      </c>
      <c r="AA95" t="s">
        <v>74</v>
      </c>
      <c r="AB95" t="s">
        <v>74</v>
      </c>
      <c r="AC95" t="s">
        <v>74</v>
      </c>
      <c r="AD95" t="s">
        <v>74</v>
      </c>
      <c r="AE95" t="s">
        <v>74</v>
      </c>
      <c r="AF95" t="s">
        <v>74</v>
      </c>
      <c r="AG95">
        <v>57</v>
      </c>
      <c r="AH95">
        <v>31</v>
      </c>
      <c r="AI95">
        <v>32</v>
      </c>
      <c r="AJ95">
        <v>0</v>
      </c>
      <c r="AK95">
        <v>4</v>
      </c>
      <c r="AL95" t="s">
        <v>365</v>
      </c>
      <c r="AM95" t="s">
        <v>231</v>
      </c>
      <c r="AN95" t="s">
        <v>366</v>
      </c>
      <c r="AO95" t="s">
        <v>367</v>
      </c>
      <c r="AP95" t="s">
        <v>74</v>
      </c>
      <c r="AQ95" t="s">
        <v>74</v>
      </c>
      <c r="AR95" t="s">
        <v>368</v>
      </c>
      <c r="AS95" t="s">
        <v>369</v>
      </c>
      <c r="AT95" t="s">
        <v>1490</v>
      </c>
      <c r="AU95">
        <v>1999</v>
      </c>
      <c r="AV95">
        <v>103</v>
      </c>
      <c r="AW95">
        <v>43</v>
      </c>
      <c r="AX95" t="s">
        <v>74</v>
      </c>
      <c r="AY95" t="s">
        <v>74</v>
      </c>
      <c r="AZ95" t="s">
        <v>74</v>
      </c>
      <c r="BA95" t="s">
        <v>74</v>
      </c>
      <c r="BB95">
        <v>8640</v>
      </c>
      <c r="BC95">
        <v>8649</v>
      </c>
      <c r="BD95" t="s">
        <v>74</v>
      </c>
      <c r="BE95" t="s">
        <v>1491</v>
      </c>
      <c r="BF95" t="str">
        <f>HYPERLINK("http://dx.doi.org/10.1021/jp991136q","http://dx.doi.org/10.1021/jp991136q")</f>
        <v>http://dx.doi.org/10.1021/jp991136q</v>
      </c>
      <c r="BG95" t="s">
        <v>74</v>
      </c>
      <c r="BH95" t="s">
        <v>74</v>
      </c>
      <c r="BI95">
        <v>10</v>
      </c>
      <c r="BJ95" t="s">
        <v>372</v>
      </c>
      <c r="BK95" t="s">
        <v>96</v>
      </c>
      <c r="BL95" t="s">
        <v>373</v>
      </c>
      <c r="BM95" t="s">
        <v>1492</v>
      </c>
      <c r="BN95" t="s">
        <v>74</v>
      </c>
      <c r="BO95" t="s">
        <v>74</v>
      </c>
      <c r="BP95" t="s">
        <v>74</v>
      </c>
      <c r="BQ95" t="s">
        <v>74</v>
      </c>
      <c r="BR95" t="s">
        <v>99</v>
      </c>
      <c r="BS95" t="s">
        <v>1493</v>
      </c>
      <c r="BT95" t="str">
        <f>HYPERLINK("https%3A%2F%2Fwww.webofscience.com%2Fwos%2Fwoscc%2Ffull-record%2FWOS:000083538100010","View Full Record in Web of Science")</f>
        <v>View Full Record in Web of Science</v>
      </c>
    </row>
    <row r="96" spans="1:72" x14ac:dyDescent="0.15">
      <c r="A96" t="s">
        <v>72</v>
      </c>
      <c r="B96" t="s">
        <v>1494</v>
      </c>
      <c r="C96" t="s">
        <v>74</v>
      </c>
      <c r="D96" t="s">
        <v>74</v>
      </c>
      <c r="E96" t="s">
        <v>74</v>
      </c>
      <c r="F96" t="s">
        <v>1494</v>
      </c>
      <c r="G96" t="s">
        <v>74</v>
      </c>
      <c r="H96" t="s">
        <v>74</v>
      </c>
      <c r="I96" t="s">
        <v>1495</v>
      </c>
      <c r="J96" t="s">
        <v>180</v>
      </c>
      <c r="K96" t="s">
        <v>74</v>
      </c>
      <c r="L96" t="s">
        <v>74</v>
      </c>
      <c r="M96" t="s">
        <v>77</v>
      </c>
      <c r="N96" t="s">
        <v>78</v>
      </c>
      <c r="O96" t="s">
        <v>74</v>
      </c>
      <c r="P96" t="s">
        <v>74</v>
      </c>
      <c r="Q96" t="s">
        <v>74</v>
      </c>
      <c r="R96" t="s">
        <v>74</v>
      </c>
      <c r="S96" t="s">
        <v>74</v>
      </c>
      <c r="T96" t="s">
        <v>1496</v>
      </c>
      <c r="U96" t="s">
        <v>1497</v>
      </c>
      <c r="V96" t="s">
        <v>1498</v>
      </c>
      <c r="W96" t="s">
        <v>1499</v>
      </c>
      <c r="X96" t="s">
        <v>1500</v>
      </c>
      <c r="Y96" t="s">
        <v>1501</v>
      </c>
      <c r="Z96" t="s">
        <v>74</v>
      </c>
      <c r="AA96" t="s">
        <v>74</v>
      </c>
      <c r="AB96" t="s">
        <v>74</v>
      </c>
      <c r="AC96" t="s">
        <v>74</v>
      </c>
      <c r="AD96" t="s">
        <v>74</v>
      </c>
      <c r="AE96" t="s">
        <v>74</v>
      </c>
      <c r="AF96" t="s">
        <v>74</v>
      </c>
      <c r="AG96">
        <v>40</v>
      </c>
      <c r="AH96">
        <v>50</v>
      </c>
      <c r="AI96">
        <v>54</v>
      </c>
      <c r="AJ96">
        <v>0</v>
      </c>
      <c r="AK96">
        <v>10</v>
      </c>
      <c r="AL96" t="s">
        <v>189</v>
      </c>
      <c r="AM96" t="s">
        <v>190</v>
      </c>
      <c r="AN96" t="s">
        <v>191</v>
      </c>
      <c r="AO96" t="s">
        <v>192</v>
      </c>
      <c r="AP96" t="s">
        <v>74</v>
      </c>
      <c r="AQ96" t="s">
        <v>74</v>
      </c>
      <c r="AR96" t="s">
        <v>193</v>
      </c>
      <c r="AS96" t="s">
        <v>194</v>
      </c>
      <c r="AT96" t="s">
        <v>1502</v>
      </c>
      <c r="AU96">
        <v>1999</v>
      </c>
      <c r="AV96">
        <v>19</v>
      </c>
      <c r="AW96">
        <v>3</v>
      </c>
      <c r="AX96" t="s">
        <v>74</v>
      </c>
      <c r="AY96" t="s">
        <v>74</v>
      </c>
      <c r="AZ96" t="s">
        <v>74</v>
      </c>
      <c r="BA96" t="s">
        <v>74</v>
      </c>
      <c r="BB96">
        <v>215</v>
      </c>
      <c r="BC96">
        <v>227</v>
      </c>
      <c r="BD96" t="s">
        <v>74</v>
      </c>
      <c r="BE96" t="s">
        <v>1503</v>
      </c>
      <c r="BF96" t="str">
        <f>HYPERLINK("http://dx.doi.org/10.3354/ame019215","http://dx.doi.org/10.3354/ame019215")</f>
        <v>http://dx.doi.org/10.3354/ame019215</v>
      </c>
      <c r="BG96" t="s">
        <v>74</v>
      </c>
      <c r="BH96" t="s">
        <v>74</v>
      </c>
      <c r="BI96">
        <v>13</v>
      </c>
      <c r="BJ96" t="s">
        <v>197</v>
      </c>
      <c r="BK96" t="s">
        <v>96</v>
      </c>
      <c r="BL96" t="s">
        <v>198</v>
      </c>
      <c r="BM96" t="s">
        <v>1504</v>
      </c>
      <c r="BN96" t="s">
        <v>74</v>
      </c>
      <c r="BO96" t="s">
        <v>1505</v>
      </c>
      <c r="BP96" t="s">
        <v>74</v>
      </c>
      <c r="BQ96" t="s">
        <v>74</v>
      </c>
      <c r="BR96" t="s">
        <v>99</v>
      </c>
      <c r="BS96" t="s">
        <v>1506</v>
      </c>
      <c r="BT96" t="str">
        <f>HYPERLINK("https%3A%2F%2Fwww.webofscience.com%2Fwos%2Fwoscc%2Ffull-record%2FWOS:000083765200002","View Full Record in Web of Science")</f>
        <v>View Full Record in Web of Science</v>
      </c>
    </row>
    <row r="97" spans="1:72" x14ac:dyDescent="0.15">
      <c r="A97" t="s">
        <v>72</v>
      </c>
      <c r="B97" t="s">
        <v>1507</v>
      </c>
      <c r="C97" t="s">
        <v>74</v>
      </c>
      <c r="D97" t="s">
        <v>74</v>
      </c>
      <c r="E97" t="s">
        <v>74</v>
      </c>
      <c r="F97" t="s">
        <v>1507</v>
      </c>
      <c r="G97" t="s">
        <v>74</v>
      </c>
      <c r="H97" t="s">
        <v>74</v>
      </c>
      <c r="I97" t="s">
        <v>1508</v>
      </c>
      <c r="J97" t="s">
        <v>221</v>
      </c>
      <c r="K97" t="s">
        <v>74</v>
      </c>
      <c r="L97" t="s">
        <v>74</v>
      </c>
      <c r="M97" t="s">
        <v>77</v>
      </c>
      <c r="N97" t="s">
        <v>78</v>
      </c>
      <c r="O97" t="s">
        <v>74</v>
      </c>
      <c r="P97" t="s">
        <v>74</v>
      </c>
      <c r="Q97" t="s">
        <v>74</v>
      </c>
      <c r="R97" t="s">
        <v>74</v>
      </c>
      <c r="S97" t="s">
        <v>74</v>
      </c>
      <c r="T97" t="s">
        <v>74</v>
      </c>
      <c r="U97" t="s">
        <v>1509</v>
      </c>
      <c r="V97" t="s">
        <v>1510</v>
      </c>
      <c r="W97" t="s">
        <v>1511</v>
      </c>
      <c r="X97" t="s">
        <v>1512</v>
      </c>
      <c r="Y97" t="s">
        <v>1513</v>
      </c>
      <c r="Z97" t="s">
        <v>1514</v>
      </c>
      <c r="AA97" t="s">
        <v>1515</v>
      </c>
      <c r="AB97" t="s">
        <v>74</v>
      </c>
      <c r="AC97" t="s">
        <v>74</v>
      </c>
      <c r="AD97" t="s">
        <v>74</v>
      </c>
      <c r="AE97" t="s">
        <v>74</v>
      </c>
      <c r="AF97" t="s">
        <v>74</v>
      </c>
      <c r="AG97">
        <v>37</v>
      </c>
      <c r="AH97">
        <v>42</v>
      </c>
      <c r="AI97">
        <v>43</v>
      </c>
      <c r="AJ97">
        <v>0</v>
      </c>
      <c r="AK97">
        <v>7</v>
      </c>
      <c r="AL97" t="s">
        <v>230</v>
      </c>
      <c r="AM97" t="s">
        <v>231</v>
      </c>
      <c r="AN97" t="s">
        <v>232</v>
      </c>
      <c r="AO97" t="s">
        <v>233</v>
      </c>
      <c r="AP97" t="s">
        <v>74</v>
      </c>
      <c r="AQ97" t="s">
        <v>74</v>
      </c>
      <c r="AR97" t="s">
        <v>234</v>
      </c>
      <c r="AS97" t="s">
        <v>235</v>
      </c>
      <c r="AT97" t="s">
        <v>1502</v>
      </c>
      <c r="AU97">
        <v>1999</v>
      </c>
      <c r="AV97">
        <v>104</v>
      </c>
      <c r="AW97" t="s">
        <v>1516</v>
      </c>
      <c r="AX97" t="s">
        <v>74</v>
      </c>
      <c r="AY97" t="s">
        <v>74</v>
      </c>
      <c r="AZ97" t="s">
        <v>74</v>
      </c>
      <c r="BA97" t="s">
        <v>74</v>
      </c>
      <c r="BB97">
        <v>24341</v>
      </c>
      <c r="BC97">
        <v>24357</v>
      </c>
      <c r="BD97" t="s">
        <v>74</v>
      </c>
      <c r="BE97" t="s">
        <v>1517</v>
      </c>
      <c r="BF97" t="str">
        <f>HYPERLINK("http://dx.doi.org/10.1029/1999JD900273","http://dx.doi.org/10.1029/1999JD900273")</f>
        <v>http://dx.doi.org/10.1029/1999JD900273</v>
      </c>
      <c r="BG97" t="s">
        <v>74</v>
      </c>
      <c r="BH97" t="s">
        <v>74</v>
      </c>
      <c r="BI97">
        <v>17</v>
      </c>
      <c r="BJ97" t="s">
        <v>95</v>
      </c>
      <c r="BK97" t="s">
        <v>96</v>
      </c>
      <c r="BL97" t="s">
        <v>95</v>
      </c>
      <c r="BM97" t="s">
        <v>1518</v>
      </c>
      <c r="BN97" t="s">
        <v>74</v>
      </c>
      <c r="BO97" t="s">
        <v>74</v>
      </c>
      <c r="BP97" t="s">
        <v>74</v>
      </c>
      <c r="BQ97" t="s">
        <v>74</v>
      </c>
      <c r="BR97" t="s">
        <v>99</v>
      </c>
      <c r="BS97" t="s">
        <v>1519</v>
      </c>
      <c r="BT97" t="str">
        <f>HYPERLINK("https%3A%2F%2Fwww.webofscience.com%2Fwos%2Fwoscc%2Ffull-record%2FWOS:000083332400009","View Full Record in Web of Science")</f>
        <v>View Full Record in Web of Science</v>
      </c>
    </row>
    <row r="98" spans="1:72" x14ac:dyDescent="0.15">
      <c r="A98" t="s">
        <v>72</v>
      </c>
      <c r="B98" t="s">
        <v>1520</v>
      </c>
      <c r="C98" t="s">
        <v>74</v>
      </c>
      <c r="D98" t="s">
        <v>74</v>
      </c>
      <c r="E98" t="s">
        <v>74</v>
      </c>
      <c r="F98" t="s">
        <v>1520</v>
      </c>
      <c r="G98" t="s">
        <v>74</v>
      </c>
      <c r="H98" t="s">
        <v>74</v>
      </c>
      <c r="I98" t="s">
        <v>1521</v>
      </c>
      <c r="J98" t="s">
        <v>1522</v>
      </c>
      <c r="K98" t="s">
        <v>74</v>
      </c>
      <c r="L98" t="s">
        <v>74</v>
      </c>
      <c r="M98" t="s">
        <v>77</v>
      </c>
      <c r="N98" t="s">
        <v>205</v>
      </c>
      <c r="O98" t="s">
        <v>74</v>
      </c>
      <c r="P98" t="s">
        <v>74</v>
      </c>
      <c r="Q98" t="s">
        <v>74</v>
      </c>
      <c r="R98" t="s">
        <v>74</v>
      </c>
      <c r="S98" t="s">
        <v>74</v>
      </c>
      <c r="T98" t="s">
        <v>74</v>
      </c>
      <c r="U98" t="s">
        <v>1523</v>
      </c>
      <c r="V98" t="s">
        <v>74</v>
      </c>
      <c r="W98" t="s">
        <v>1524</v>
      </c>
      <c r="X98" t="s">
        <v>1525</v>
      </c>
      <c r="Y98" t="s">
        <v>1526</v>
      </c>
      <c r="Z98" t="s">
        <v>1527</v>
      </c>
      <c r="AA98" t="s">
        <v>74</v>
      </c>
      <c r="AB98" t="s">
        <v>74</v>
      </c>
      <c r="AC98" t="s">
        <v>74</v>
      </c>
      <c r="AD98" t="s">
        <v>74</v>
      </c>
      <c r="AE98" t="s">
        <v>74</v>
      </c>
      <c r="AF98" t="s">
        <v>74</v>
      </c>
      <c r="AG98">
        <v>25</v>
      </c>
      <c r="AH98">
        <v>5</v>
      </c>
      <c r="AI98">
        <v>5</v>
      </c>
      <c r="AJ98">
        <v>0</v>
      </c>
      <c r="AK98">
        <v>2</v>
      </c>
      <c r="AL98" t="s">
        <v>230</v>
      </c>
      <c r="AM98" t="s">
        <v>231</v>
      </c>
      <c r="AN98" t="s">
        <v>232</v>
      </c>
      <c r="AO98" t="s">
        <v>1528</v>
      </c>
      <c r="AP98" t="s">
        <v>1529</v>
      </c>
      <c r="AQ98" t="s">
        <v>74</v>
      </c>
      <c r="AR98" t="s">
        <v>1530</v>
      </c>
      <c r="AS98" t="s">
        <v>1531</v>
      </c>
      <c r="AT98" t="s">
        <v>1532</v>
      </c>
      <c r="AU98">
        <v>1999</v>
      </c>
      <c r="AV98">
        <v>104</v>
      </c>
      <c r="AW98" t="s">
        <v>1533</v>
      </c>
      <c r="AX98" t="s">
        <v>74</v>
      </c>
      <c r="AY98" t="s">
        <v>74</v>
      </c>
      <c r="AZ98" t="s">
        <v>74</v>
      </c>
      <c r="BA98" t="s">
        <v>74</v>
      </c>
      <c r="BB98">
        <v>24211</v>
      </c>
      <c r="BC98">
        <v>24215</v>
      </c>
      <c r="BD98" t="s">
        <v>74</v>
      </c>
      <c r="BE98" t="s">
        <v>1534</v>
      </c>
      <c r="BF98" t="str">
        <f>HYPERLINK("http://dx.doi.org/10.1029/1998JE001005","http://dx.doi.org/10.1029/1998JE001005")</f>
        <v>http://dx.doi.org/10.1029/1998JE001005</v>
      </c>
      <c r="BG98" t="s">
        <v>74</v>
      </c>
      <c r="BH98" t="s">
        <v>74</v>
      </c>
      <c r="BI98">
        <v>5</v>
      </c>
      <c r="BJ98" t="s">
        <v>216</v>
      </c>
      <c r="BK98" t="s">
        <v>96</v>
      </c>
      <c r="BL98" t="s">
        <v>216</v>
      </c>
      <c r="BM98" t="s">
        <v>1535</v>
      </c>
      <c r="BN98" t="s">
        <v>74</v>
      </c>
      <c r="BO98" t="s">
        <v>250</v>
      </c>
      <c r="BP98" t="s">
        <v>74</v>
      </c>
      <c r="BQ98" t="s">
        <v>74</v>
      </c>
      <c r="BR98" t="s">
        <v>99</v>
      </c>
      <c r="BS98" t="s">
        <v>1536</v>
      </c>
      <c r="BT98" t="str">
        <f>HYPERLINK("https%3A%2F%2Fwww.webofscience.com%2Fwos%2Fwoscc%2Ffull-record%2FWOS:000083253100011","View Full Record in Web of Science")</f>
        <v>View Full Record in Web of Science</v>
      </c>
    </row>
    <row r="99" spans="1:72" x14ac:dyDescent="0.15">
      <c r="A99" t="s">
        <v>72</v>
      </c>
      <c r="B99" t="s">
        <v>1537</v>
      </c>
      <c r="C99" t="s">
        <v>74</v>
      </c>
      <c r="D99" t="s">
        <v>74</v>
      </c>
      <c r="E99" t="s">
        <v>74</v>
      </c>
      <c r="F99" t="s">
        <v>1537</v>
      </c>
      <c r="G99" t="s">
        <v>74</v>
      </c>
      <c r="H99" t="s">
        <v>74</v>
      </c>
      <c r="I99" t="s">
        <v>1538</v>
      </c>
      <c r="J99" t="s">
        <v>221</v>
      </c>
      <c r="K99" t="s">
        <v>74</v>
      </c>
      <c r="L99" t="s">
        <v>74</v>
      </c>
      <c r="M99" t="s">
        <v>77</v>
      </c>
      <c r="N99" t="s">
        <v>78</v>
      </c>
      <c r="O99" t="s">
        <v>74</v>
      </c>
      <c r="P99" t="s">
        <v>74</v>
      </c>
      <c r="Q99" t="s">
        <v>74</v>
      </c>
      <c r="R99" t="s">
        <v>74</v>
      </c>
      <c r="S99" t="s">
        <v>74</v>
      </c>
      <c r="T99" t="s">
        <v>74</v>
      </c>
      <c r="U99" t="s">
        <v>1539</v>
      </c>
      <c r="V99" t="s">
        <v>1540</v>
      </c>
      <c r="W99" t="s">
        <v>1541</v>
      </c>
      <c r="X99" t="s">
        <v>1542</v>
      </c>
      <c r="Y99" t="s">
        <v>1543</v>
      </c>
      <c r="Z99" t="s">
        <v>1544</v>
      </c>
      <c r="AA99" t="s">
        <v>1545</v>
      </c>
      <c r="AB99" t="s">
        <v>1546</v>
      </c>
      <c r="AC99" t="s">
        <v>74</v>
      </c>
      <c r="AD99" t="s">
        <v>74</v>
      </c>
      <c r="AE99" t="s">
        <v>74</v>
      </c>
      <c r="AF99" t="s">
        <v>74</v>
      </c>
      <c r="AG99">
        <v>56</v>
      </c>
      <c r="AH99">
        <v>50</v>
      </c>
      <c r="AI99">
        <v>54</v>
      </c>
      <c r="AJ99">
        <v>0</v>
      </c>
      <c r="AK99">
        <v>12</v>
      </c>
      <c r="AL99" t="s">
        <v>230</v>
      </c>
      <c r="AM99" t="s">
        <v>231</v>
      </c>
      <c r="AN99" t="s">
        <v>232</v>
      </c>
      <c r="AO99" t="s">
        <v>233</v>
      </c>
      <c r="AP99" t="s">
        <v>317</v>
      </c>
      <c r="AQ99" t="s">
        <v>74</v>
      </c>
      <c r="AR99" t="s">
        <v>234</v>
      </c>
      <c r="AS99" t="s">
        <v>235</v>
      </c>
      <c r="AT99" t="s">
        <v>1547</v>
      </c>
      <c r="AU99">
        <v>1999</v>
      </c>
      <c r="AV99">
        <v>104</v>
      </c>
      <c r="AW99" t="s">
        <v>1548</v>
      </c>
      <c r="AX99" t="s">
        <v>74</v>
      </c>
      <c r="AY99" t="s">
        <v>74</v>
      </c>
      <c r="AZ99" t="s">
        <v>74</v>
      </c>
      <c r="BA99" t="s">
        <v>74</v>
      </c>
      <c r="BB99">
        <v>23631</v>
      </c>
      <c r="BC99">
        <v>23643</v>
      </c>
      <c r="BD99" t="s">
        <v>74</v>
      </c>
      <c r="BE99" t="s">
        <v>1549</v>
      </c>
      <c r="BF99" t="str">
        <f>HYPERLINK("http://dx.doi.org/10.1029/1999JD900357","http://dx.doi.org/10.1029/1999JD900357")</f>
        <v>http://dx.doi.org/10.1029/1999JD900357</v>
      </c>
      <c r="BG99" t="s">
        <v>74</v>
      </c>
      <c r="BH99" t="s">
        <v>74</v>
      </c>
      <c r="BI99">
        <v>13</v>
      </c>
      <c r="BJ99" t="s">
        <v>95</v>
      </c>
      <c r="BK99" t="s">
        <v>96</v>
      </c>
      <c r="BL99" t="s">
        <v>95</v>
      </c>
      <c r="BM99" t="s">
        <v>1550</v>
      </c>
      <c r="BN99" t="s">
        <v>74</v>
      </c>
      <c r="BO99" t="s">
        <v>250</v>
      </c>
      <c r="BP99" t="s">
        <v>74</v>
      </c>
      <c r="BQ99" t="s">
        <v>74</v>
      </c>
      <c r="BR99" t="s">
        <v>99</v>
      </c>
      <c r="BS99" t="s">
        <v>1551</v>
      </c>
      <c r="BT99" t="str">
        <f>HYPERLINK("https%3A%2F%2Fwww.webofscience.com%2Fwos%2Fwoscc%2Ffull-record%2FWOS:000083188400003","View Full Record in Web of Science")</f>
        <v>View Full Record in Web of Science</v>
      </c>
    </row>
    <row r="100" spans="1:72" x14ac:dyDescent="0.15">
      <c r="A100" t="s">
        <v>72</v>
      </c>
      <c r="B100" t="s">
        <v>1552</v>
      </c>
      <c r="C100" t="s">
        <v>74</v>
      </c>
      <c r="D100" t="s">
        <v>74</v>
      </c>
      <c r="E100" t="s">
        <v>74</v>
      </c>
      <c r="F100" t="s">
        <v>1552</v>
      </c>
      <c r="G100" t="s">
        <v>74</v>
      </c>
      <c r="H100" t="s">
        <v>74</v>
      </c>
      <c r="I100" t="s">
        <v>1553</v>
      </c>
      <c r="J100" t="s">
        <v>221</v>
      </c>
      <c r="K100" t="s">
        <v>74</v>
      </c>
      <c r="L100" t="s">
        <v>74</v>
      </c>
      <c r="M100" t="s">
        <v>77</v>
      </c>
      <c r="N100" t="s">
        <v>78</v>
      </c>
      <c r="O100" t="s">
        <v>74</v>
      </c>
      <c r="P100" t="s">
        <v>74</v>
      </c>
      <c r="Q100" t="s">
        <v>74</v>
      </c>
      <c r="R100" t="s">
        <v>74</v>
      </c>
      <c r="S100" t="s">
        <v>74</v>
      </c>
      <c r="T100" t="s">
        <v>74</v>
      </c>
      <c r="U100" t="s">
        <v>1554</v>
      </c>
      <c r="V100" t="s">
        <v>1555</v>
      </c>
      <c r="W100" t="s">
        <v>1556</v>
      </c>
      <c r="X100" t="s">
        <v>1557</v>
      </c>
      <c r="Y100" t="s">
        <v>1558</v>
      </c>
      <c r="Z100" t="s">
        <v>1559</v>
      </c>
      <c r="AA100" t="s">
        <v>74</v>
      </c>
      <c r="AB100" t="s">
        <v>74</v>
      </c>
      <c r="AC100" t="s">
        <v>74</v>
      </c>
      <c r="AD100" t="s">
        <v>74</v>
      </c>
      <c r="AE100" t="s">
        <v>74</v>
      </c>
      <c r="AF100" t="s">
        <v>74</v>
      </c>
      <c r="AG100">
        <v>52</v>
      </c>
      <c r="AH100">
        <v>151</v>
      </c>
      <c r="AI100">
        <v>170</v>
      </c>
      <c r="AJ100">
        <v>0</v>
      </c>
      <c r="AK100">
        <v>20</v>
      </c>
      <c r="AL100" t="s">
        <v>230</v>
      </c>
      <c r="AM100" t="s">
        <v>231</v>
      </c>
      <c r="AN100" t="s">
        <v>232</v>
      </c>
      <c r="AO100" t="s">
        <v>233</v>
      </c>
      <c r="AP100" t="s">
        <v>74</v>
      </c>
      <c r="AQ100" t="s">
        <v>74</v>
      </c>
      <c r="AR100" t="s">
        <v>234</v>
      </c>
      <c r="AS100" t="s">
        <v>235</v>
      </c>
      <c r="AT100" t="s">
        <v>1547</v>
      </c>
      <c r="AU100">
        <v>1999</v>
      </c>
      <c r="AV100">
        <v>104</v>
      </c>
      <c r="AW100" t="s">
        <v>1548</v>
      </c>
      <c r="AX100" t="s">
        <v>74</v>
      </c>
      <c r="AY100" t="s">
        <v>74</v>
      </c>
      <c r="AZ100" t="s">
        <v>74</v>
      </c>
      <c r="BA100" t="s">
        <v>74</v>
      </c>
      <c r="BB100">
        <v>23719</v>
      </c>
      <c r="BC100">
        <v>23727</v>
      </c>
      <c r="BD100" t="s">
        <v>74</v>
      </c>
      <c r="BE100" t="s">
        <v>1560</v>
      </c>
      <c r="BF100" t="str">
        <f>HYPERLINK("http://dx.doi.org/10.1029/1999JD900359","http://dx.doi.org/10.1029/1999JD900359")</f>
        <v>http://dx.doi.org/10.1029/1999JD900359</v>
      </c>
      <c r="BG100" t="s">
        <v>74</v>
      </c>
      <c r="BH100" t="s">
        <v>74</v>
      </c>
      <c r="BI100">
        <v>9</v>
      </c>
      <c r="BJ100" t="s">
        <v>95</v>
      </c>
      <c r="BK100" t="s">
        <v>96</v>
      </c>
      <c r="BL100" t="s">
        <v>95</v>
      </c>
      <c r="BM100" t="s">
        <v>1550</v>
      </c>
      <c r="BN100" t="s">
        <v>74</v>
      </c>
      <c r="BO100" t="s">
        <v>250</v>
      </c>
      <c r="BP100" t="s">
        <v>74</v>
      </c>
      <c r="BQ100" t="s">
        <v>74</v>
      </c>
      <c r="BR100" t="s">
        <v>99</v>
      </c>
      <c r="BS100" t="s">
        <v>1561</v>
      </c>
      <c r="BT100" t="str">
        <f>HYPERLINK("https%3A%2F%2Fwww.webofscience.com%2Fwos%2Fwoscc%2Ffull-record%2FWOS:000083188400010","View Full Record in Web of Science")</f>
        <v>View Full Record in Web of Science</v>
      </c>
    </row>
    <row r="101" spans="1:72" x14ac:dyDescent="0.15">
      <c r="A101" t="s">
        <v>72</v>
      </c>
      <c r="B101" t="s">
        <v>1562</v>
      </c>
      <c r="C101" t="s">
        <v>74</v>
      </c>
      <c r="D101" t="s">
        <v>74</v>
      </c>
      <c r="E101" t="s">
        <v>74</v>
      </c>
      <c r="F101" t="s">
        <v>1562</v>
      </c>
      <c r="G101" t="s">
        <v>74</v>
      </c>
      <c r="H101" t="s">
        <v>74</v>
      </c>
      <c r="I101" t="s">
        <v>1563</v>
      </c>
      <c r="J101" t="s">
        <v>221</v>
      </c>
      <c r="K101" t="s">
        <v>74</v>
      </c>
      <c r="L101" t="s">
        <v>74</v>
      </c>
      <c r="M101" t="s">
        <v>77</v>
      </c>
      <c r="N101" t="s">
        <v>78</v>
      </c>
      <c r="O101" t="s">
        <v>74</v>
      </c>
      <c r="P101" t="s">
        <v>74</v>
      </c>
      <c r="Q101" t="s">
        <v>74</v>
      </c>
      <c r="R101" t="s">
        <v>74</v>
      </c>
      <c r="S101" t="s">
        <v>74</v>
      </c>
      <c r="T101" t="s">
        <v>74</v>
      </c>
      <c r="U101" t="s">
        <v>1564</v>
      </c>
      <c r="V101" t="s">
        <v>1565</v>
      </c>
      <c r="W101" t="s">
        <v>1566</v>
      </c>
      <c r="X101" t="s">
        <v>1567</v>
      </c>
      <c r="Y101" t="s">
        <v>1568</v>
      </c>
      <c r="Z101" t="s">
        <v>1569</v>
      </c>
      <c r="AA101" t="s">
        <v>1570</v>
      </c>
      <c r="AB101" t="s">
        <v>1571</v>
      </c>
      <c r="AC101" t="s">
        <v>74</v>
      </c>
      <c r="AD101" t="s">
        <v>74</v>
      </c>
      <c r="AE101" t="s">
        <v>74</v>
      </c>
      <c r="AF101" t="s">
        <v>74</v>
      </c>
      <c r="AG101">
        <v>34</v>
      </c>
      <c r="AH101">
        <v>55</v>
      </c>
      <c r="AI101">
        <v>59</v>
      </c>
      <c r="AJ101">
        <v>0</v>
      </c>
      <c r="AK101">
        <v>17</v>
      </c>
      <c r="AL101" t="s">
        <v>230</v>
      </c>
      <c r="AM101" t="s">
        <v>231</v>
      </c>
      <c r="AN101" t="s">
        <v>232</v>
      </c>
      <c r="AO101" t="s">
        <v>233</v>
      </c>
      <c r="AP101" t="s">
        <v>317</v>
      </c>
      <c r="AQ101" t="s">
        <v>74</v>
      </c>
      <c r="AR101" t="s">
        <v>234</v>
      </c>
      <c r="AS101" t="s">
        <v>235</v>
      </c>
      <c r="AT101" t="s">
        <v>1547</v>
      </c>
      <c r="AU101">
        <v>1999</v>
      </c>
      <c r="AV101">
        <v>104</v>
      </c>
      <c r="AW101" t="s">
        <v>1548</v>
      </c>
      <c r="AX101" t="s">
        <v>74</v>
      </c>
      <c r="AY101" t="s">
        <v>74</v>
      </c>
      <c r="AZ101" t="s">
        <v>74</v>
      </c>
      <c r="BA101" t="s">
        <v>74</v>
      </c>
      <c r="BB101">
        <v>23785</v>
      </c>
      <c r="BC101">
        <v>23797</v>
      </c>
      <c r="BD101" t="s">
        <v>74</v>
      </c>
      <c r="BE101" t="s">
        <v>1572</v>
      </c>
      <c r="BF101" t="str">
        <f>HYPERLINK("http://dx.doi.org/10.1029/1999JD900448","http://dx.doi.org/10.1029/1999JD900448")</f>
        <v>http://dx.doi.org/10.1029/1999JD900448</v>
      </c>
      <c r="BG101" t="s">
        <v>74</v>
      </c>
      <c r="BH101" t="s">
        <v>74</v>
      </c>
      <c r="BI101">
        <v>13</v>
      </c>
      <c r="BJ101" t="s">
        <v>95</v>
      </c>
      <c r="BK101" t="s">
        <v>96</v>
      </c>
      <c r="BL101" t="s">
        <v>95</v>
      </c>
      <c r="BM101" t="s">
        <v>1550</v>
      </c>
      <c r="BN101" t="s">
        <v>74</v>
      </c>
      <c r="BO101" t="s">
        <v>74</v>
      </c>
      <c r="BP101" t="s">
        <v>74</v>
      </c>
      <c r="BQ101" t="s">
        <v>74</v>
      </c>
      <c r="BR101" t="s">
        <v>99</v>
      </c>
      <c r="BS101" t="s">
        <v>1573</v>
      </c>
      <c r="BT101" t="str">
        <f>HYPERLINK("https%3A%2F%2Fwww.webofscience.com%2Fwos%2Fwoscc%2Ffull-record%2FWOS:000083188400014","View Full Record in Web of Science")</f>
        <v>View Full Record in Web of Science</v>
      </c>
    </row>
    <row r="102" spans="1:72" x14ac:dyDescent="0.15">
      <c r="A102" t="s">
        <v>72</v>
      </c>
      <c r="B102" t="s">
        <v>1574</v>
      </c>
      <c r="C102" t="s">
        <v>74</v>
      </c>
      <c r="D102" t="s">
        <v>74</v>
      </c>
      <c r="E102" t="s">
        <v>74</v>
      </c>
      <c r="F102" t="s">
        <v>1574</v>
      </c>
      <c r="G102" t="s">
        <v>74</v>
      </c>
      <c r="H102" t="s">
        <v>74</v>
      </c>
      <c r="I102" t="s">
        <v>1575</v>
      </c>
      <c r="J102" t="s">
        <v>221</v>
      </c>
      <c r="K102" t="s">
        <v>74</v>
      </c>
      <c r="L102" t="s">
        <v>74</v>
      </c>
      <c r="M102" t="s">
        <v>77</v>
      </c>
      <c r="N102" t="s">
        <v>78</v>
      </c>
      <c r="O102" t="s">
        <v>74</v>
      </c>
      <c r="P102" t="s">
        <v>74</v>
      </c>
      <c r="Q102" t="s">
        <v>74</v>
      </c>
      <c r="R102" t="s">
        <v>74</v>
      </c>
      <c r="S102" t="s">
        <v>74</v>
      </c>
      <c r="T102" t="s">
        <v>74</v>
      </c>
      <c r="U102" t="s">
        <v>1576</v>
      </c>
      <c r="V102" t="s">
        <v>1577</v>
      </c>
      <c r="W102" t="s">
        <v>1578</v>
      </c>
      <c r="X102" t="s">
        <v>1579</v>
      </c>
      <c r="Y102" t="s">
        <v>1580</v>
      </c>
      <c r="Z102" t="s">
        <v>1581</v>
      </c>
      <c r="AA102" t="s">
        <v>1582</v>
      </c>
      <c r="AB102" t="s">
        <v>74</v>
      </c>
      <c r="AC102" t="s">
        <v>74</v>
      </c>
      <c r="AD102" t="s">
        <v>74</v>
      </c>
      <c r="AE102" t="s">
        <v>74</v>
      </c>
      <c r="AF102" t="s">
        <v>74</v>
      </c>
      <c r="AG102">
        <v>36</v>
      </c>
      <c r="AH102">
        <v>6</v>
      </c>
      <c r="AI102">
        <v>6</v>
      </c>
      <c r="AJ102">
        <v>0</v>
      </c>
      <c r="AK102">
        <v>2</v>
      </c>
      <c r="AL102" t="s">
        <v>230</v>
      </c>
      <c r="AM102" t="s">
        <v>231</v>
      </c>
      <c r="AN102" t="s">
        <v>232</v>
      </c>
      <c r="AO102" t="s">
        <v>233</v>
      </c>
      <c r="AP102" t="s">
        <v>74</v>
      </c>
      <c r="AQ102" t="s">
        <v>74</v>
      </c>
      <c r="AR102" t="s">
        <v>234</v>
      </c>
      <c r="AS102" t="s">
        <v>235</v>
      </c>
      <c r="AT102" t="s">
        <v>1547</v>
      </c>
      <c r="AU102">
        <v>1999</v>
      </c>
      <c r="AV102">
        <v>104</v>
      </c>
      <c r="AW102" t="s">
        <v>1548</v>
      </c>
      <c r="AX102" t="s">
        <v>74</v>
      </c>
      <c r="AY102" t="s">
        <v>74</v>
      </c>
      <c r="AZ102" t="s">
        <v>74</v>
      </c>
      <c r="BA102" t="s">
        <v>74</v>
      </c>
      <c r="BB102">
        <v>23899</v>
      </c>
      <c r="BC102">
        <v>23909</v>
      </c>
      <c r="BD102" t="s">
        <v>74</v>
      </c>
      <c r="BE102" t="s">
        <v>1583</v>
      </c>
      <c r="BF102" t="str">
        <f>HYPERLINK("http://dx.doi.org/10.1029/1999JD900776","http://dx.doi.org/10.1029/1999JD900776")</f>
        <v>http://dx.doi.org/10.1029/1999JD900776</v>
      </c>
      <c r="BG102" t="s">
        <v>74</v>
      </c>
      <c r="BH102" t="s">
        <v>74</v>
      </c>
      <c r="BI102">
        <v>11</v>
      </c>
      <c r="BJ102" t="s">
        <v>95</v>
      </c>
      <c r="BK102" t="s">
        <v>96</v>
      </c>
      <c r="BL102" t="s">
        <v>95</v>
      </c>
      <c r="BM102" t="s">
        <v>1550</v>
      </c>
      <c r="BN102" t="s">
        <v>74</v>
      </c>
      <c r="BO102" t="s">
        <v>1584</v>
      </c>
      <c r="BP102" t="s">
        <v>74</v>
      </c>
      <c r="BQ102" t="s">
        <v>74</v>
      </c>
      <c r="BR102" t="s">
        <v>99</v>
      </c>
      <c r="BS102" t="s">
        <v>1585</v>
      </c>
      <c r="BT102" t="str">
        <f>HYPERLINK("https%3A%2F%2Fwww.webofscience.com%2Fwos%2Fwoscc%2Ffull-record%2FWOS:000083188400021","View Full Record in Web of Science")</f>
        <v>View Full Record in Web of Science</v>
      </c>
    </row>
    <row r="103" spans="1:72" x14ac:dyDescent="0.15">
      <c r="A103" t="s">
        <v>72</v>
      </c>
      <c r="B103" t="s">
        <v>1586</v>
      </c>
      <c r="C103" t="s">
        <v>74</v>
      </c>
      <c r="D103" t="s">
        <v>74</v>
      </c>
      <c r="E103" t="s">
        <v>74</v>
      </c>
      <c r="F103" t="s">
        <v>1586</v>
      </c>
      <c r="G103" t="s">
        <v>74</v>
      </c>
      <c r="H103" t="s">
        <v>74</v>
      </c>
      <c r="I103" t="s">
        <v>1587</v>
      </c>
      <c r="J103" t="s">
        <v>221</v>
      </c>
      <c r="K103" t="s">
        <v>74</v>
      </c>
      <c r="L103" t="s">
        <v>74</v>
      </c>
      <c r="M103" t="s">
        <v>77</v>
      </c>
      <c r="N103" t="s">
        <v>78</v>
      </c>
      <c r="O103" t="s">
        <v>74</v>
      </c>
      <c r="P103" t="s">
        <v>74</v>
      </c>
      <c r="Q103" t="s">
        <v>74</v>
      </c>
      <c r="R103" t="s">
        <v>74</v>
      </c>
      <c r="S103" t="s">
        <v>74</v>
      </c>
      <c r="T103" t="s">
        <v>74</v>
      </c>
      <c r="U103" t="s">
        <v>1588</v>
      </c>
      <c r="V103" t="s">
        <v>1589</v>
      </c>
      <c r="W103" t="s">
        <v>1590</v>
      </c>
      <c r="X103" t="s">
        <v>1591</v>
      </c>
      <c r="Y103" t="s">
        <v>1592</v>
      </c>
      <c r="Z103" t="s">
        <v>1593</v>
      </c>
      <c r="AA103" t="s">
        <v>1594</v>
      </c>
      <c r="AB103" t="s">
        <v>1595</v>
      </c>
      <c r="AC103" t="s">
        <v>74</v>
      </c>
      <c r="AD103" t="s">
        <v>74</v>
      </c>
      <c r="AE103" t="s">
        <v>74</v>
      </c>
      <c r="AF103" t="s">
        <v>74</v>
      </c>
      <c r="AG103">
        <v>62</v>
      </c>
      <c r="AH103">
        <v>22</v>
      </c>
      <c r="AI103">
        <v>22</v>
      </c>
      <c r="AJ103">
        <v>0</v>
      </c>
      <c r="AK103">
        <v>1</v>
      </c>
      <c r="AL103" t="s">
        <v>230</v>
      </c>
      <c r="AM103" t="s">
        <v>231</v>
      </c>
      <c r="AN103" t="s">
        <v>232</v>
      </c>
      <c r="AO103" t="s">
        <v>233</v>
      </c>
      <c r="AP103" t="s">
        <v>317</v>
      </c>
      <c r="AQ103" t="s">
        <v>74</v>
      </c>
      <c r="AR103" t="s">
        <v>234</v>
      </c>
      <c r="AS103" t="s">
        <v>235</v>
      </c>
      <c r="AT103" t="s">
        <v>1547</v>
      </c>
      <c r="AU103">
        <v>1999</v>
      </c>
      <c r="AV103">
        <v>104</v>
      </c>
      <c r="AW103" t="s">
        <v>1548</v>
      </c>
      <c r="AX103" t="s">
        <v>74</v>
      </c>
      <c r="AY103" t="s">
        <v>74</v>
      </c>
      <c r="AZ103" t="s">
        <v>74</v>
      </c>
      <c r="BA103" t="s">
        <v>74</v>
      </c>
      <c r="BB103">
        <v>23941</v>
      </c>
      <c r="BC103">
        <v>23959</v>
      </c>
      <c r="BD103" t="s">
        <v>74</v>
      </c>
      <c r="BE103" t="s">
        <v>1596</v>
      </c>
      <c r="BF103" t="str">
        <f>HYPERLINK("http://dx.doi.org/10.1029/1998JD100078","http://dx.doi.org/10.1029/1998JD100078")</f>
        <v>http://dx.doi.org/10.1029/1998JD100078</v>
      </c>
      <c r="BG103" t="s">
        <v>74</v>
      </c>
      <c r="BH103" t="s">
        <v>74</v>
      </c>
      <c r="BI103">
        <v>19</v>
      </c>
      <c r="BJ103" t="s">
        <v>95</v>
      </c>
      <c r="BK103" t="s">
        <v>96</v>
      </c>
      <c r="BL103" t="s">
        <v>95</v>
      </c>
      <c r="BM103" t="s">
        <v>1550</v>
      </c>
      <c r="BN103" t="s">
        <v>74</v>
      </c>
      <c r="BO103" t="s">
        <v>250</v>
      </c>
      <c r="BP103" t="s">
        <v>74</v>
      </c>
      <c r="BQ103" t="s">
        <v>74</v>
      </c>
      <c r="BR103" t="s">
        <v>99</v>
      </c>
      <c r="BS103" t="s">
        <v>1597</v>
      </c>
      <c r="BT103" t="str">
        <f>HYPERLINK("https%3A%2F%2Fwww.webofscience.com%2Fwos%2Fwoscc%2Ffull-record%2FWOS:000083188400024","View Full Record in Web of Science")</f>
        <v>View Full Record in Web of Science</v>
      </c>
    </row>
    <row r="104" spans="1:72" x14ac:dyDescent="0.15">
      <c r="A104" t="s">
        <v>72</v>
      </c>
      <c r="B104" t="s">
        <v>1598</v>
      </c>
      <c r="C104" t="s">
        <v>74</v>
      </c>
      <c r="D104" t="s">
        <v>74</v>
      </c>
      <c r="E104" t="s">
        <v>74</v>
      </c>
      <c r="F104" t="s">
        <v>1598</v>
      </c>
      <c r="G104" t="s">
        <v>74</v>
      </c>
      <c r="H104" t="s">
        <v>74</v>
      </c>
      <c r="I104" t="s">
        <v>1599</v>
      </c>
      <c r="J104" t="s">
        <v>1600</v>
      </c>
      <c r="K104" t="s">
        <v>74</v>
      </c>
      <c r="L104" t="s">
        <v>74</v>
      </c>
      <c r="M104" t="s">
        <v>77</v>
      </c>
      <c r="N104" t="s">
        <v>78</v>
      </c>
      <c r="O104" t="s">
        <v>74</v>
      </c>
      <c r="P104" t="s">
        <v>74</v>
      </c>
      <c r="Q104" t="s">
        <v>74</v>
      </c>
      <c r="R104" t="s">
        <v>74</v>
      </c>
      <c r="S104" t="s">
        <v>74</v>
      </c>
      <c r="T104" t="s">
        <v>1601</v>
      </c>
      <c r="U104" t="s">
        <v>1602</v>
      </c>
      <c r="V104" t="s">
        <v>1603</v>
      </c>
      <c r="W104" t="s">
        <v>1604</v>
      </c>
      <c r="X104" t="s">
        <v>1605</v>
      </c>
      <c r="Y104" t="s">
        <v>1606</v>
      </c>
      <c r="Z104" t="s">
        <v>1607</v>
      </c>
      <c r="AA104" t="s">
        <v>1608</v>
      </c>
      <c r="AB104" t="s">
        <v>74</v>
      </c>
      <c r="AC104" t="s">
        <v>74</v>
      </c>
      <c r="AD104" t="s">
        <v>74</v>
      </c>
      <c r="AE104" t="s">
        <v>74</v>
      </c>
      <c r="AF104" t="s">
        <v>74</v>
      </c>
      <c r="AG104">
        <v>41</v>
      </c>
      <c r="AH104">
        <v>144</v>
      </c>
      <c r="AI104">
        <v>170</v>
      </c>
      <c r="AJ104">
        <v>0</v>
      </c>
      <c r="AK104">
        <v>5</v>
      </c>
      <c r="AL104" t="s">
        <v>1263</v>
      </c>
      <c r="AM104" t="s">
        <v>211</v>
      </c>
      <c r="AN104" t="s">
        <v>1264</v>
      </c>
      <c r="AO104" t="s">
        <v>1609</v>
      </c>
      <c r="AP104" t="s">
        <v>1610</v>
      </c>
      <c r="AQ104" t="s">
        <v>74</v>
      </c>
      <c r="AR104" t="s">
        <v>1611</v>
      </c>
      <c r="AS104" t="s">
        <v>1612</v>
      </c>
      <c r="AT104" t="s">
        <v>1613</v>
      </c>
      <c r="AU104">
        <v>1999</v>
      </c>
      <c r="AV104">
        <v>172</v>
      </c>
      <c r="AW104" t="s">
        <v>1614</v>
      </c>
      <c r="AX104" t="s">
        <v>74</v>
      </c>
      <c r="AY104" t="s">
        <v>74</v>
      </c>
      <c r="AZ104" t="s">
        <v>74</v>
      </c>
      <c r="BA104" t="s">
        <v>74</v>
      </c>
      <c r="BB104">
        <v>83</v>
      </c>
      <c r="BC104">
        <v>96</v>
      </c>
      <c r="BD104" t="s">
        <v>74</v>
      </c>
      <c r="BE104" t="s">
        <v>1615</v>
      </c>
      <c r="BF104" t="str">
        <f>HYPERLINK("http://dx.doi.org/10.1016/S0012-821X(99)00190-9","http://dx.doi.org/10.1016/S0012-821X(99)00190-9")</f>
        <v>http://dx.doi.org/10.1016/S0012-821X(99)00190-9</v>
      </c>
      <c r="BG104" t="s">
        <v>74</v>
      </c>
      <c r="BH104" t="s">
        <v>74</v>
      </c>
      <c r="BI104">
        <v>14</v>
      </c>
      <c r="BJ104" t="s">
        <v>216</v>
      </c>
      <c r="BK104" t="s">
        <v>96</v>
      </c>
      <c r="BL104" t="s">
        <v>216</v>
      </c>
      <c r="BM104" t="s">
        <v>1616</v>
      </c>
      <c r="BN104" t="s">
        <v>74</v>
      </c>
      <c r="BO104" t="s">
        <v>74</v>
      </c>
      <c r="BP104" t="s">
        <v>74</v>
      </c>
      <c r="BQ104" t="s">
        <v>74</v>
      </c>
      <c r="BR104" t="s">
        <v>99</v>
      </c>
      <c r="BS104" t="s">
        <v>1617</v>
      </c>
      <c r="BT104" t="str">
        <f>HYPERLINK("https%3A%2F%2Fwww.webofscience.com%2Fwos%2Fwoscc%2Ffull-record%2FWOS:000083527500007","View Full Record in Web of Science")</f>
        <v>View Full Record in Web of Science</v>
      </c>
    </row>
    <row r="105" spans="1:72" x14ac:dyDescent="0.15">
      <c r="A105" t="s">
        <v>72</v>
      </c>
      <c r="B105" t="s">
        <v>1618</v>
      </c>
      <c r="C105" t="s">
        <v>74</v>
      </c>
      <c r="D105" t="s">
        <v>74</v>
      </c>
      <c r="E105" t="s">
        <v>74</v>
      </c>
      <c r="F105" t="s">
        <v>1618</v>
      </c>
      <c r="G105" t="s">
        <v>74</v>
      </c>
      <c r="H105" t="s">
        <v>74</v>
      </c>
      <c r="I105" t="s">
        <v>1619</v>
      </c>
      <c r="J105" t="s">
        <v>1620</v>
      </c>
      <c r="K105" t="s">
        <v>74</v>
      </c>
      <c r="L105" t="s">
        <v>74</v>
      </c>
      <c r="M105" t="s">
        <v>77</v>
      </c>
      <c r="N105" t="s">
        <v>78</v>
      </c>
      <c r="O105" t="s">
        <v>74</v>
      </c>
      <c r="P105" t="s">
        <v>74</v>
      </c>
      <c r="Q105" t="s">
        <v>74</v>
      </c>
      <c r="R105" t="s">
        <v>74</v>
      </c>
      <c r="S105" t="s">
        <v>74</v>
      </c>
      <c r="T105" t="s">
        <v>74</v>
      </c>
      <c r="U105" t="s">
        <v>1621</v>
      </c>
      <c r="V105" t="s">
        <v>1622</v>
      </c>
      <c r="W105" t="s">
        <v>1623</v>
      </c>
      <c r="X105" t="s">
        <v>1624</v>
      </c>
      <c r="Y105" t="s">
        <v>1625</v>
      </c>
      <c r="Z105" t="s">
        <v>1626</v>
      </c>
      <c r="AA105" t="s">
        <v>1627</v>
      </c>
      <c r="AB105" t="s">
        <v>1628</v>
      </c>
      <c r="AC105" t="s">
        <v>74</v>
      </c>
      <c r="AD105" t="s">
        <v>74</v>
      </c>
      <c r="AE105" t="s">
        <v>74</v>
      </c>
      <c r="AF105" t="s">
        <v>74</v>
      </c>
      <c r="AG105">
        <v>42</v>
      </c>
      <c r="AH105">
        <v>50</v>
      </c>
      <c r="AI105">
        <v>51</v>
      </c>
      <c r="AJ105">
        <v>1</v>
      </c>
      <c r="AK105">
        <v>19</v>
      </c>
      <c r="AL105" t="s">
        <v>365</v>
      </c>
      <c r="AM105" t="s">
        <v>231</v>
      </c>
      <c r="AN105" t="s">
        <v>366</v>
      </c>
      <c r="AO105" t="s">
        <v>1629</v>
      </c>
      <c r="AP105" t="s">
        <v>74</v>
      </c>
      <c r="AQ105" t="s">
        <v>74</v>
      </c>
      <c r="AR105" t="s">
        <v>1630</v>
      </c>
      <c r="AS105" t="s">
        <v>1631</v>
      </c>
      <c r="AT105" t="s">
        <v>1613</v>
      </c>
      <c r="AU105">
        <v>1999</v>
      </c>
      <c r="AV105">
        <v>33</v>
      </c>
      <c r="AW105">
        <v>20</v>
      </c>
      <c r="AX105" t="s">
        <v>74</v>
      </c>
      <c r="AY105" t="s">
        <v>74</v>
      </c>
      <c r="AZ105" t="s">
        <v>74</v>
      </c>
      <c r="BA105" t="s">
        <v>74</v>
      </c>
      <c r="BB105">
        <v>3495</v>
      </c>
      <c r="BC105">
        <v>3501</v>
      </c>
      <c r="BD105" t="s">
        <v>74</v>
      </c>
      <c r="BE105" t="s">
        <v>1632</v>
      </c>
      <c r="BF105" t="str">
        <f>HYPERLINK("http://dx.doi.org/10.1021/es990066y","http://dx.doi.org/10.1021/es990066y")</f>
        <v>http://dx.doi.org/10.1021/es990066y</v>
      </c>
      <c r="BG105" t="s">
        <v>74</v>
      </c>
      <c r="BH105" t="s">
        <v>74</v>
      </c>
      <c r="BI105">
        <v>7</v>
      </c>
      <c r="BJ105" t="s">
        <v>1633</v>
      </c>
      <c r="BK105" t="s">
        <v>96</v>
      </c>
      <c r="BL105" t="s">
        <v>1634</v>
      </c>
      <c r="BM105" t="s">
        <v>1635</v>
      </c>
      <c r="BN105" t="s">
        <v>74</v>
      </c>
      <c r="BO105" t="s">
        <v>74</v>
      </c>
      <c r="BP105" t="s">
        <v>74</v>
      </c>
      <c r="BQ105" t="s">
        <v>74</v>
      </c>
      <c r="BR105" t="s">
        <v>99</v>
      </c>
      <c r="BS105" t="s">
        <v>1636</v>
      </c>
      <c r="BT105" t="str">
        <f>HYPERLINK("https%3A%2F%2Fwww.webofscience.com%2Fwos%2Fwoscc%2Ffull-record%2FWOS:000083257500004","View Full Record in Web of Science")</f>
        <v>View Full Record in Web of Science</v>
      </c>
    </row>
    <row r="106" spans="1:72" x14ac:dyDescent="0.15">
      <c r="A106" t="s">
        <v>72</v>
      </c>
      <c r="B106" t="s">
        <v>1637</v>
      </c>
      <c r="C106" t="s">
        <v>74</v>
      </c>
      <c r="D106" t="s">
        <v>74</v>
      </c>
      <c r="E106" t="s">
        <v>74</v>
      </c>
      <c r="F106" t="s">
        <v>1637</v>
      </c>
      <c r="G106" t="s">
        <v>74</v>
      </c>
      <c r="H106" t="s">
        <v>74</v>
      </c>
      <c r="I106" t="s">
        <v>1638</v>
      </c>
      <c r="J106" t="s">
        <v>1639</v>
      </c>
      <c r="K106" t="s">
        <v>74</v>
      </c>
      <c r="L106" t="s">
        <v>74</v>
      </c>
      <c r="M106" t="s">
        <v>77</v>
      </c>
      <c r="N106" t="s">
        <v>78</v>
      </c>
      <c r="O106" t="s">
        <v>74</v>
      </c>
      <c r="P106" t="s">
        <v>74</v>
      </c>
      <c r="Q106" t="s">
        <v>74</v>
      </c>
      <c r="R106" t="s">
        <v>74</v>
      </c>
      <c r="S106" t="s">
        <v>74</v>
      </c>
      <c r="T106" t="s">
        <v>74</v>
      </c>
      <c r="U106" t="s">
        <v>1640</v>
      </c>
      <c r="V106" t="s">
        <v>1641</v>
      </c>
      <c r="W106" t="s">
        <v>1642</v>
      </c>
      <c r="X106" t="s">
        <v>74</v>
      </c>
      <c r="Y106" t="s">
        <v>1643</v>
      </c>
      <c r="Z106" t="s">
        <v>1644</v>
      </c>
      <c r="AA106" t="s">
        <v>74</v>
      </c>
      <c r="AB106" t="s">
        <v>74</v>
      </c>
      <c r="AC106" t="s">
        <v>74</v>
      </c>
      <c r="AD106" t="s">
        <v>74</v>
      </c>
      <c r="AE106" t="s">
        <v>74</v>
      </c>
      <c r="AF106" t="s">
        <v>74</v>
      </c>
      <c r="AG106">
        <v>28</v>
      </c>
      <c r="AH106">
        <v>14</v>
      </c>
      <c r="AI106">
        <v>16</v>
      </c>
      <c r="AJ106">
        <v>0</v>
      </c>
      <c r="AK106">
        <v>7</v>
      </c>
      <c r="AL106" t="s">
        <v>1645</v>
      </c>
      <c r="AM106" t="s">
        <v>1646</v>
      </c>
      <c r="AN106" t="s">
        <v>1647</v>
      </c>
      <c r="AO106" t="s">
        <v>1648</v>
      </c>
      <c r="AP106" t="s">
        <v>1649</v>
      </c>
      <c r="AQ106" t="s">
        <v>74</v>
      </c>
      <c r="AR106" t="s">
        <v>1650</v>
      </c>
      <c r="AS106" t="s">
        <v>1651</v>
      </c>
      <c r="AT106" t="s">
        <v>1613</v>
      </c>
      <c r="AU106">
        <v>1999</v>
      </c>
      <c r="AV106">
        <v>20</v>
      </c>
      <c r="AW106" t="s">
        <v>1652</v>
      </c>
      <c r="AX106" t="s">
        <v>74</v>
      </c>
      <c r="AY106" t="s">
        <v>74</v>
      </c>
      <c r="AZ106" t="s">
        <v>74</v>
      </c>
      <c r="BA106" t="s">
        <v>74</v>
      </c>
      <c r="BB106">
        <v>3073</v>
      </c>
      <c r="BC106">
        <v>3085</v>
      </c>
      <c r="BD106" t="s">
        <v>74</v>
      </c>
      <c r="BE106" t="s">
        <v>1653</v>
      </c>
      <c r="BF106" t="str">
        <f>HYPERLINK("http://dx.doi.org/10.1080/014311699211624","http://dx.doi.org/10.1080/014311699211624")</f>
        <v>http://dx.doi.org/10.1080/014311699211624</v>
      </c>
      <c r="BG106" t="s">
        <v>74</v>
      </c>
      <c r="BH106" t="s">
        <v>74</v>
      </c>
      <c r="BI106">
        <v>13</v>
      </c>
      <c r="BJ106" t="s">
        <v>1654</v>
      </c>
      <c r="BK106" t="s">
        <v>96</v>
      </c>
      <c r="BL106" t="s">
        <v>1654</v>
      </c>
      <c r="BM106" t="s">
        <v>1655</v>
      </c>
      <c r="BN106" t="s">
        <v>74</v>
      </c>
      <c r="BO106" t="s">
        <v>74</v>
      </c>
      <c r="BP106" t="s">
        <v>74</v>
      </c>
      <c r="BQ106" t="s">
        <v>74</v>
      </c>
      <c r="BR106" t="s">
        <v>99</v>
      </c>
      <c r="BS106" t="s">
        <v>1656</v>
      </c>
      <c r="BT106" t="str">
        <f>HYPERLINK("https%3A%2F%2Fwww.webofscience.com%2Fwos%2Fwoscc%2Ffull-record%2FWOS:000082768800011","View Full Record in Web of Science")</f>
        <v>View Full Record in Web of Science</v>
      </c>
    </row>
    <row r="107" spans="1:72" x14ac:dyDescent="0.15">
      <c r="A107" t="s">
        <v>72</v>
      </c>
      <c r="B107" t="s">
        <v>1657</v>
      </c>
      <c r="C107" t="s">
        <v>74</v>
      </c>
      <c r="D107" t="s">
        <v>74</v>
      </c>
      <c r="E107" t="s">
        <v>74</v>
      </c>
      <c r="F107" t="s">
        <v>1657</v>
      </c>
      <c r="G107" t="s">
        <v>74</v>
      </c>
      <c r="H107" t="s">
        <v>74</v>
      </c>
      <c r="I107" t="s">
        <v>1658</v>
      </c>
      <c r="J107" t="s">
        <v>1639</v>
      </c>
      <c r="K107" t="s">
        <v>74</v>
      </c>
      <c r="L107" t="s">
        <v>74</v>
      </c>
      <c r="M107" t="s">
        <v>77</v>
      </c>
      <c r="N107" t="s">
        <v>123</v>
      </c>
      <c r="O107" t="s">
        <v>1659</v>
      </c>
      <c r="P107" t="s">
        <v>1660</v>
      </c>
      <c r="Q107" t="s">
        <v>1661</v>
      </c>
      <c r="R107" t="s">
        <v>74</v>
      </c>
      <c r="S107" t="s">
        <v>74</v>
      </c>
      <c r="T107" t="s">
        <v>74</v>
      </c>
      <c r="U107" t="s">
        <v>1662</v>
      </c>
      <c r="V107" t="s">
        <v>1663</v>
      </c>
      <c r="W107" t="s">
        <v>1221</v>
      </c>
      <c r="X107" t="s">
        <v>1222</v>
      </c>
      <c r="Y107" t="s">
        <v>1664</v>
      </c>
      <c r="Z107" t="s">
        <v>74</v>
      </c>
      <c r="AA107" t="s">
        <v>1665</v>
      </c>
      <c r="AB107" t="s">
        <v>1666</v>
      </c>
      <c r="AC107" t="s">
        <v>74</v>
      </c>
      <c r="AD107" t="s">
        <v>74</v>
      </c>
      <c r="AE107" t="s">
        <v>74</v>
      </c>
      <c r="AF107" t="s">
        <v>74</v>
      </c>
      <c r="AG107">
        <v>29</v>
      </c>
      <c r="AH107">
        <v>20</v>
      </c>
      <c r="AI107">
        <v>22</v>
      </c>
      <c r="AJ107">
        <v>0</v>
      </c>
      <c r="AK107">
        <v>4</v>
      </c>
      <c r="AL107" t="s">
        <v>1645</v>
      </c>
      <c r="AM107" t="s">
        <v>531</v>
      </c>
      <c r="AN107" t="s">
        <v>1667</v>
      </c>
      <c r="AO107" t="s">
        <v>1648</v>
      </c>
      <c r="AP107" t="s">
        <v>74</v>
      </c>
      <c r="AQ107" t="s">
        <v>74</v>
      </c>
      <c r="AR107" t="s">
        <v>1650</v>
      </c>
      <c r="AS107" t="s">
        <v>1651</v>
      </c>
      <c r="AT107" t="s">
        <v>1613</v>
      </c>
      <c r="AU107">
        <v>1999</v>
      </c>
      <c r="AV107">
        <v>20</v>
      </c>
      <c r="AW107" t="s">
        <v>1652</v>
      </c>
      <c r="AX107" t="s">
        <v>74</v>
      </c>
      <c r="AY107" t="s">
        <v>74</v>
      </c>
      <c r="AZ107" t="s">
        <v>74</v>
      </c>
      <c r="BA107" t="s">
        <v>74</v>
      </c>
      <c r="BB107">
        <v>3111</v>
      </c>
      <c r="BC107">
        <v>3123</v>
      </c>
      <c r="BD107" t="s">
        <v>74</v>
      </c>
      <c r="BE107" t="s">
        <v>1668</v>
      </c>
      <c r="BF107" t="str">
        <f>HYPERLINK("http://dx.doi.org/10.1080/014311699211642","http://dx.doi.org/10.1080/014311699211642")</f>
        <v>http://dx.doi.org/10.1080/014311699211642</v>
      </c>
      <c r="BG107" t="s">
        <v>74</v>
      </c>
      <c r="BH107" t="s">
        <v>74</v>
      </c>
      <c r="BI107">
        <v>13</v>
      </c>
      <c r="BJ107" t="s">
        <v>1654</v>
      </c>
      <c r="BK107" t="s">
        <v>143</v>
      </c>
      <c r="BL107" t="s">
        <v>1654</v>
      </c>
      <c r="BM107" t="s">
        <v>1655</v>
      </c>
      <c r="BN107" t="s">
        <v>74</v>
      </c>
      <c r="BO107" t="s">
        <v>1214</v>
      </c>
      <c r="BP107" t="s">
        <v>74</v>
      </c>
      <c r="BQ107" t="s">
        <v>74</v>
      </c>
      <c r="BR107" t="s">
        <v>99</v>
      </c>
      <c r="BS107" t="s">
        <v>1669</v>
      </c>
      <c r="BT107" t="str">
        <f>HYPERLINK("https%3A%2F%2Fwww.webofscience.com%2Fwos%2Fwoscc%2Ffull-record%2FWOS:000082768800013","View Full Record in Web of Science")</f>
        <v>View Full Record in Web of Science</v>
      </c>
    </row>
    <row r="108" spans="1:72" x14ac:dyDescent="0.15">
      <c r="A108" t="s">
        <v>72</v>
      </c>
      <c r="B108" t="s">
        <v>1670</v>
      </c>
      <c r="C108" t="s">
        <v>74</v>
      </c>
      <c r="D108" t="s">
        <v>74</v>
      </c>
      <c r="E108" t="s">
        <v>74</v>
      </c>
      <c r="F108" t="s">
        <v>1670</v>
      </c>
      <c r="G108" t="s">
        <v>74</v>
      </c>
      <c r="H108" t="s">
        <v>74</v>
      </c>
      <c r="I108" t="s">
        <v>1671</v>
      </c>
      <c r="J108" t="s">
        <v>1639</v>
      </c>
      <c r="K108" t="s">
        <v>74</v>
      </c>
      <c r="L108" t="s">
        <v>74</v>
      </c>
      <c r="M108" t="s">
        <v>77</v>
      </c>
      <c r="N108" t="s">
        <v>78</v>
      </c>
      <c r="O108" t="s">
        <v>74</v>
      </c>
      <c r="P108" t="s">
        <v>74</v>
      </c>
      <c r="Q108" t="s">
        <v>74</v>
      </c>
      <c r="R108" t="s">
        <v>74</v>
      </c>
      <c r="S108" t="s">
        <v>74</v>
      </c>
      <c r="T108" t="s">
        <v>74</v>
      </c>
      <c r="U108" t="s">
        <v>1672</v>
      </c>
      <c r="V108" t="s">
        <v>1673</v>
      </c>
      <c r="W108" t="s">
        <v>1674</v>
      </c>
      <c r="X108" t="s">
        <v>1675</v>
      </c>
      <c r="Y108" t="s">
        <v>1676</v>
      </c>
      <c r="Z108" t="s">
        <v>74</v>
      </c>
      <c r="AA108" t="s">
        <v>74</v>
      </c>
      <c r="AB108" t="s">
        <v>74</v>
      </c>
      <c r="AC108" t="s">
        <v>74</v>
      </c>
      <c r="AD108" t="s">
        <v>74</v>
      </c>
      <c r="AE108" t="s">
        <v>74</v>
      </c>
      <c r="AF108" t="s">
        <v>74</v>
      </c>
      <c r="AG108">
        <v>38</v>
      </c>
      <c r="AH108">
        <v>1</v>
      </c>
      <c r="AI108">
        <v>1</v>
      </c>
      <c r="AJ108">
        <v>0</v>
      </c>
      <c r="AK108">
        <v>1</v>
      </c>
      <c r="AL108" t="s">
        <v>1645</v>
      </c>
      <c r="AM108" t="s">
        <v>531</v>
      </c>
      <c r="AN108" t="s">
        <v>1667</v>
      </c>
      <c r="AO108" t="s">
        <v>1648</v>
      </c>
      <c r="AP108" t="s">
        <v>74</v>
      </c>
      <c r="AQ108" t="s">
        <v>74</v>
      </c>
      <c r="AR108" t="s">
        <v>1650</v>
      </c>
      <c r="AS108" t="s">
        <v>1651</v>
      </c>
      <c r="AT108" t="s">
        <v>1613</v>
      </c>
      <c r="AU108">
        <v>1999</v>
      </c>
      <c r="AV108">
        <v>20</v>
      </c>
      <c r="AW108" t="s">
        <v>1652</v>
      </c>
      <c r="AX108" t="s">
        <v>74</v>
      </c>
      <c r="AY108" t="s">
        <v>74</v>
      </c>
      <c r="AZ108" t="s">
        <v>74</v>
      </c>
      <c r="BA108" t="s">
        <v>74</v>
      </c>
      <c r="BB108">
        <v>3165</v>
      </c>
      <c r="BC108">
        <v>3182</v>
      </c>
      <c r="BD108" t="s">
        <v>74</v>
      </c>
      <c r="BE108" t="s">
        <v>1677</v>
      </c>
      <c r="BF108" t="str">
        <f>HYPERLINK("http://dx.doi.org/10.1080/014311699211688","http://dx.doi.org/10.1080/014311699211688")</f>
        <v>http://dx.doi.org/10.1080/014311699211688</v>
      </c>
      <c r="BG108" t="s">
        <v>74</v>
      </c>
      <c r="BH108" t="s">
        <v>74</v>
      </c>
      <c r="BI108">
        <v>18</v>
      </c>
      <c r="BJ108" t="s">
        <v>1654</v>
      </c>
      <c r="BK108" t="s">
        <v>96</v>
      </c>
      <c r="BL108" t="s">
        <v>1654</v>
      </c>
      <c r="BM108" t="s">
        <v>1655</v>
      </c>
      <c r="BN108" t="s">
        <v>74</v>
      </c>
      <c r="BO108" t="s">
        <v>74</v>
      </c>
      <c r="BP108" t="s">
        <v>74</v>
      </c>
      <c r="BQ108" t="s">
        <v>74</v>
      </c>
      <c r="BR108" t="s">
        <v>99</v>
      </c>
      <c r="BS108" t="s">
        <v>1678</v>
      </c>
      <c r="BT108" t="str">
        <f>HYPERLINK("https%3A%2F%2Fwww.webofscience.com%2Fwos%2Fwoscc%2Ffull-record%2FWOS:000082768800017","View Full Record in Web of Science")</f>
        <v>View Full Record in Web of Science</v>
      </c>
    </row>
    <row r="109" spans="1:72" x14ac:dyDescent="0.15">
      <c r="A109" t="s">
        <v>72</v>
      </c>
      <c r="B109" t="s">
        <v>1679</v>
      </c>
      <c r="C109" t="s">
        <v>74</v>
      </c>
      <c r="D109" t="s">
        <v>74</v>
      </c>
      <c r="E109" t="s">
        <v>74</v>
      </c>
      <c r="F109" t="s">
        <v>1679</v>
      </c>
      <c r="G109" t="s">
        <v>74</v>
      </c>
      <c r="H109" t="s">
        <v>74</v>
      </c>
      <c r="I109" t="s">
        <v>1680</v>
      </c>
      <c r="J109" t="s">
        <v>1639</v>
      </c>
      <c r="K109" t="s">
        <v>74</v>
      </c>
      <c r="L109" t="s">
        <v>74</v>
      </c>
      <c r="M109" t="s">
        <v>77</v>
      </c>
      <c r="N109" t="s">
        <v>78</v>
      </c>
      <c r="O109" t="s">
        <v>74</v>
      </c>
      <c r="P109" t="s">
        <v>74</v>
      </c>
      <c r="Q109" t="s">
        <v>74</v>
      </c>
      <c r="R109" t="s">
        <v>74</v>
      </c>
      <c r="S109" t="s">
        <v>74</v>
      </c>
      <c r="T109" t="s">
        <v>74</v>
      </c>
      <c r="U109" t="s">
        <v>1681</v>
      </c>
      <c r="V109" t="s">
        <v>1682</v>
      </c>
      <c r="W109" t="s">
        <v>1683</v>
      </c>
      <c r="X109" t="s">
        <v>1684</v>
      </c>
      <c r="Y109" t="s">
        <v>1685</v>
      </c>
      <c r="Z109" t="s">
        <v>1686</v>
      </c>
      <c r="AA109" t="s">
        <v>1687</v>
      </c>
      <c r="AB109" t="s">
        <v>1688</v>
      </c>
      <c r="AC109" t="s">
        <v>74</v>
      </c>
      <c r="AD109" t="s">
        <v>74</v>
      </c>
      <c r="AE109" t="s">
        <v>74</v>
      </c>
      <c r="AF109" t="s">
        <v>74</v>
      </c>
      <c r="AG109">
        <v>16</v>
      </c>
      <c r="AH109">
        <v>34</v>
      </c>
      <c r="AI109">
        <v>37</v>
      </c>
      <c r="AJ109">
        <v>0</v>
      </c>
      <c r="AK109">
        <v>2</v>
      </c>
      <c r="AL109" t="s">
        <v>1645</v>
      </c>
      <c r="AM109" t="s">
        <v>1646</v>
      </c>
      <c r="AN109" t="s">
        <v>1647</v>
      </c>
      <c r="AO109" t="s">
        <v>1648</v>
      </c>
      <c r="AP109" t="s">
        <v>1649</v>
      </c>
      <c r="AQ109" t="s">
        <v>74</v>
      </c>
      <c r="AR109" t="s">
        <v>1650</v>
      </c>
      <c r="AS109" t="s">
        <v>1651</v>
      </c>
      <c r="AT109" t="s">
        <v>1613</v>
      </c>
      <c r="AU109">
        <v>1999</v>
      </c>
      <c r="AV109">
        <v>20</v>
      </c>
      <c r="AW109" t="s">
        <v>1652</v>
      </c>
      <c r="AX109" t="s">
        <v>74</v>
      </c>
      <c r="AY109" t="s">
        <v>74</v>
      </c>
      <c r="AZ109" t="s">
        <v>74</v>
      </c>
      <c r="BA109" t="s">
        <v>74</v>
      </c>
      <c r="BB109">
        <v>3183</v>
      </c>
      <c r="BC109">
        <v>3199</v>
      </c>
      <c r="BD109" t="s">
        <v>74</v>
      </c>
      <c r="BE109" t="s">
        <v>1689</v>
      </c>
      <c r="BF109" t="str">
        <f>HYPERLINK("http://dx.doi.org/10.1080/014311699211697","http://dx.doi.org/10.1080/014311699211697")</f>
        <v>http://dx.doi.org/10.1080/014311699211697</v>
      </c>
      <c r="BG109" t="s">
        <v>74</v>
      </c>
      <c r="BH109" t="s">
        <v>74</v>
      </c>
      <c r="BI109">
        <v>17</v>
      </c>
      <c r="BJ109" t="s">
        <v>1654</v>
      </c>
      <c r="BK109" t="s">
        <v>96</v>
      </c>
      <c r="BL109" t="s">
        <v>1654</v>
      </c>
      <c r="BM109" t="s">
        <v>1655</v>
      </c>
      <c r="BN109" t="s">
        <v>74</v>
      </c>
      <c r="BO109" t="s">
        <v>1214</v>
      </c>
      <c r="BP109" t="s">
        <v>74</v>
      </c>
      <c r="BQ109" t="s">
        <v>74</v>
      </c>
      <c r="BR109" t="s">
        <v>99</v>
      </c>
      <c r="BS109" t="s">
        <v>1690</v>
      </c>
      <c r="BT109" t="str">
        <f>HYPERLINK("https%3A%2F%2Fwww.webofscience.com%2Fwos%2Fwoscc%2Ffull-record%2FWOS:000082768800018","View Full Record in Web of Science")</f>
        <v>View Full Record in Web of Science</v>
      </c>
    </row>
    <row r="110" spans="1:72" x14ac:dyDescent="0.15">
      <c r="A110" t="s">
        <v>72</v>
      </c>
      <c r="B110" t="s">
        <v>1691</v>
      </c>
      <c r="C110" t="s">
        <v>74</v>
      </c>
      <c r="D110" t="s">
        <v>74</v>
      </c>
      <c r="E110" t="s">
        <v>74</v>
      </c>
      <c r="F110" t="s">
        <v>1691</v>
      </c>
      <c r="G110" t="s">
        <v>74</v>
      </c>
      <c r="H110" t="s">
        <v>74</v>
      </c>
      <c r="I110" t="s">
        <v>1692</v>
      </c>
      <c r="J110" t="s">
        <v>1693</v>
      </c>
      <c r="K110" t="s">
        <v>74</v>
      </c>
      <c r="L110" t="s">
        <v>74</v>
      </c>
      <c r="M110" t="s">
        <v>77</v>
      </c>
      <c r="N110" t="s">
        <v>78</v>
      </c>
      <c r="O110" t="s">
        <v>74</v>
      </c>
      <c r="P110" t="s">
        <v>74</v>
      </c>
      <c r="Q110" t="s">
        <v>74</v>
      </c>
      <c r="R110" t="s">
        <v>74</v>
      </c>
      <c r="S110" t="s">
        <v>74</v>
      </c>
      <c r="T110" t="s">
        <v>1694</v>
      </c>
      <c r="U110" t="s">
        <v>1695</v>
      </c>
      <c r="V110" t="s">
        <v>1696</v>
      </c>
      <c r="W110" t="s">
        <v>1697</v>
      </c>
      <c r="X110" t="s">
        <v>1222</v>
      </c>
      <c r="Y110" t="s">
        <v>1698</v>
      </c>
      <c r="Z110" t="s">
        <v>74</v>
      </c>
      <c r="AA110" t="s">
        <v>74</v>
      </c>
      <c r="AB110" t="s">
        <v>74</v>
      </c>
      <c r="AC110" t="s">
        <v>74</v>
      </c>
      <c r="AD110" t="s">
        <v>74</v>
      </c>
      <c r="AE110" t="s">
        <v>74</v>
      </c>
      <c r="AF110" t="s">
        <v>74</v>
      </c>
      <c r="AG110">
        <v>48</v>
      </c>
      <c r="AH110">
        <v>36</v>
      </c>
      <c r="AI110">
        <v>39</v>
      </c>
      <c r="AJ110">
        <v>0</v>
      </c>
      <c r="AK110">
        <v>4</v>
      </c>
      <c r="AL110" t="s">
        <v>210</v>
      </c>
      <c r="AM110" t="s">
        <v>211</v>
      </c>
      <c r="AN110" t="s">
        <v>212</v>
      </c>
      <c r="AO110" t="s">
        <v>1699</v>
      </c>
      <c r="AP110" t="s">
        <v>74</v>
      </c>
      <c r="AQ110" t="s">
        <v>74</v>
      </c>
      <c r="AR110" t="s">
        <v>1700</v>
      </c>
      <c r="AS110" t="s">
        <v>1701</v>
      </c>
      <c r="AT110" t="s">
        <v>1613</v>
      </c>
      <c r="AU110">
        <v>1999</v>
      </c>
      <c r="AV110">
        <v>242</v>
      </c>
      <c r="AW110">
        <v>2</v>
      </c>
      <c r="AX110" t="s">
        <v>74</v>
      </c>
      <c r="AY110" t="s">
        <v>74</v>
      </c>
      <c r="AZ110" t="s">
        <v>74</v>
      </c>
      <c r="BA110" t="s">
        <v>74</v>
      </c>
      <c r="BB110">
        <v>233</v>
      </c>
      <c r="BC110">
        <v>244</v>
      </c>
      <c r="BD110" t="s">
        <v>74</v>
      </c>
      <c r="BE110" t="s">
        <v>1702</v>
      </c>
      <c r="BF110" t="str">
        <f>HYPERLINK("http://dx.doi.org/10.1016/S0022-0981(99)00108-2","http://dx.doi.org/10.1016/S0022-0981(99)00108-2")</f>
        <v>http://dx.doi.org/10.1016/S0022-0981(99)00108-2</v>
      </c>
      <c r="BG110" t="s">
        <v>74</v>
      </c>
      <c r="BH110" t="s">
        <v>74</v>
      </c>
      <c r="BI110">
        <v>12</v>
      </c>
      <c r="BJ110" t="s">
        <v>1703</v>
      </c>
      <c r="BK110" t="s">
        <v>96</v>
      </c>
      <c r="BL110" t="s">
        <v>1704</v>
      </c>
      <c r="BM110" t="s">
        <v>1705</v>
      </c>
      <c r="BN110" t="s">
        <v>74</v>
      </c>
      <c r="BO110" t="s">
        <v>74</v>
      </c>
      <c r="BP110" t="s">
        <v>74</v>
      </c>
      <c r="BQ110" t="s">
        <v>74</v>
      </c>
      <c r="BR110" t="s">
        <v>99</v>
      </c>
      <c r="BS110" t="s">
        <v>1706</v>
      </c>
      <c r="BT110" t="str">
        <f>HYPERLINK("https%3A%2F%2Fwww.webofscience.com%2Fwos%2Fwoscc%2Ffull-record%2FWOS:000083002100005","View Full Record in Web of Science")</f>
        <v>View Full Record in Web of Science</v>
      </c>
    </row>
    <row r="111" spans="1:72" x14ac:dyDescent="0.15">
      <c r="A111" t="s">
        <v>72</v>
      </c>
      <c r="B111" t="s">
        <v>1707</v>
      </c>
      <c r="C111" t="s">
        <v>74</v>
      </c>
      <c r="D111" t="s">
        <v>74</v>
      </c>
      <c r="E111" t="s">
        <v>74</v>
      </c>
      <c r="F111" t="s">
        <v>1707</v>
      </c>
      <c r="G111" t="s">
        <v>74</v>
      </c>
      <c r="H111" t="s">
        <v>74</v>
      </c>
      <c r="I111" t="s">
        <v>1708</v>
      </c>
      <c r="J111" t="s">
        <v>403</v>
      </c>
      <c r="K111" t="s">
        <v>74</v>
      </c>
      <c r="L111" t="s">
        <v>74</v>
      </c>
      <c r="M111" t="s">
        <v>77</v>
      </c>
      <c r="N111" t="s">
        <v>78</v>
      </c>
      <c r="O111" t="s">
        <v>74</v>
      </c>
      <c r="P111" t="s">
        <v>74</v>
      </c>
      <c r="Q111" t="s">
        <v>74</v>
      </c>
      <c r="R111" t="s">
        <v>74</v>
      </c>
      <c r="S111" t="s">
        <v>74</v>
      </c>
      <c r="T111" t="s">
        <v>74</v>
      </c>
      <c r="U111" t="s">
        <v>1709</v>
      </c>
      <c r="V111" t="s">
        <v>1710</v>
      </c>
      <c r="W111" t="s">
        <v>1711</v>
      </c>
      <c r="X111" t="s">
        <v>1712</v>
      </c>
      <c r="Y111" t="s">
        <v>1713</v>
      </c>
      <c r="Z111" t="s">
        <v>1714</v>
      </c>
      <c r="AA111" t="s">
        <v>74</v>
      </c>
      <c r="AB111" t="s">
        <v>74</v>
      </c>
      <c r="AC111" t="s">
        <v>74</v>
      </c>
      <c r="AD111" t="s">
        <v>74</v>
      </c>
      <c r="AE111" t="s">
        <v>74</v>
      </c>
      <c r="AF111" t="s">
        <v>74</v>
      </c>
      <c r="AG111">
        <v>59</v>
      </c>
      <c r="AH111">
        <v>327</v>
      </c>
      <c r="AI111">
        <v>330</v>
      </c>
      <c r="AJ111">
        <v>0</v>
      </c>
      <c r="AK111">
        <v>41</v>
      </c>
      <c r="AL111" t="s">
        <v>230</v>
      </c>
      <c r="AM111" t="s">
        <v>231</v>
      </c>
      <c r="AN111" t="s">
        <v>232</v>
      </c>
      <c r="AO111" t="s">
        <v>410</v>
      </c>
      <c r="AP111" t="s">
        <v>411</v>
      </c>
      <c r="AQ111" t="s">
        <v>74</v>
      </c>
      <c r="AR111" t="s">
        <v>412</v>
      </c>
      <c r="AS111" t="s">
        <v>413</v>
      </c>
      <c r="AT111" t="s">
        <v>1613</v>
      </c>
      <c r="AU111">
        <v>1999</v>
      </c>
      <c r="AV111">
        <v>104</v>
      </c>
      <c r="AW111" t="s">
        <v>1715</v>
      </c>
      <c r="AX111" t="s">
        <v>74</v>
      </c>
      <c r="AY111" t="s">
        <v>74</v>
      </c>
      <c r="AZ111" t="s">
        <v>74</v>
      </c>
      <c r="BA111" t="s">
        <v>74</v>
      </c>
      <c r="BB111">
        <v>23337</v>
      </c>
      <c r="BC111">
        <v>23355</v>
      </c>
      <c r="BD111" t="s">
        <v>74</v>
      </c>
      <c r="BE111" t="s">
        <v>1716</v>
      </c>
      <c r="BF111" t="str">
        <f>HYPERLINK("http://dx.doi.org/10.1029/1999JC900215","http://dx.doi.org/10.1029/1999JC900215")</f>
        <v>http://dx.doi.org/10.1029/1999JC900215</v>
      </c>
      <c r="BG111" t="s">
        <v>74</v>
      </c>
      <c r="BH111" t="s">
        <v>74</v>
      </c>
      <c r="BI111">
        <v>19</v>
      </c>
      <c r="BJ111" t="s">
        <v>416</v>
      </c>
      <c r="BK111" t="s">
        <v>96</v>
      </c>
      <c r="BL111" t="s">
        <v>416</v>
      </c>
      <c r="BM111" t="s">
        <v>1717</v>
      </c>
      <c r="BN111" t="s">
        <v>74</v>
      </c>
      <c r="BO111" t="s">
        <v>250</v>
      </c>
      <c r="BP111" t="s">
        <v>74</v>
      </c>
      <c r="BQ111" t="s">
        <v>74</v>
      </c>
      <c r="BR111" t="s">
        <v>99</v>
      </c>
      <c r="BS111" t="s">
        <v>1718</v>
      </c>
      <c r="BT111" t="str">
        <f>HYPERLINK("https%3A%2F%2Fwww.webofscience.com%2Fwos%2Fwoscc%2Ffull-record%2FWOS:000083163500005","View Full Record in Web of Science")</f>
        <v>View Full Record in Web of Science</v>
      </c>
    </row>
    <row r="112" spans="1:72" x14ac:dyDescent="0.15">
      <c r="A112" t="s">
        <v>72</v>
      </c>
      <c r="B112" t="s">
        <v>1719</v>
      </c>
      <c r="C112" t="s">
        <v>74</v>
      </c>
      <c r="D112" t="s">
        <v>74</v>
      </c>
      <c r="E112" t="s">
        <v>74</v>
      </c>
      <c r="F112" t="s">
        <v>1719</v>
      </c>
      <c r="G112" t="s">
        <v>74</v>
      </c>
      <c r="H112" t="s">
        <v>74</v>
      </c>
      <c r="I112" t="s">
        <v>1720</v>
      </c>
      <c r="J112" t="s">
        <v>403</v>
      </c>
      <c r="K112" t="s">
        <v>74</v>
      </c>
      <c r="L112" t="s">
        <v>74</v>
      </c>
      <c r="M112" t="s">
        <v>77</v>
      </c>
      <c r="N112" t="s">
        <v>78</v>
      </c>
      <c r="O112" t="s">
        <v>74</v>
      </c>
      <c r="P112" t="s">
        <v>74</v>
      </c>
      <c r="Q112" t="s">
        <v>74</v>
      </c>
      <c r="R112" t="s">
        <v>74</v>
      </c>
      <c r="S112" t="s">
        <v>74</v>
      </c>
      <c r="T112" t="s">
        <v>74</v>
      </c>
      <c r="U112" t="s">
        <v>1721</v>
      </c>
      <c r="V112" t="s">
        <v>1722</v>
      </c>
      <c r="W112" t="s">
        <v>1723</v>
      </c>
      <c r="X112" t="s">
        <v>1724</v>
      </c>
      <c r="Y112" t="s">
        <v>1725</v>
      </c>
      <c r="Z112" t="s">
        <v>1726</v>
      </c>
      <c r="AA112" t="s">
        <v>74</v>
      </c>
      <c r="AB112" t="s">
        <v>74</v>
      </c>
      <c r="AC112" t="s">
        <v>74</v>
      </c>
      <c r="AD112" t="s">
        <v>74</v>
      </c>
      <c r="AE112" t="s">
        <v>74</v>
      </c>
      <c r="AF112" t="s">
        <v>74</v>
      </c>
      <c r="AG112">
        <v>30</v>
      </c>
      <c r="AH112">
        <v>74</v>
      </c>
      <c r="AI112">
        <v>77</v>
      </c>
      <c r="AJ112">
        <v>0</v>
      </c>
      <c r="AK112">
        <v>8</v>
      </c>
      <c r="AL112" t="s">
        <v>230</v>
      </c>
      <c r="AM112" t="s">
        <v>231</v>
      </c>
      <c r="AN112" t="s">
        <v>232</v>
      </c>
      <c r="AO112" t="s">
        <v>410</v>
      </c>
      <c r="AP112" t="s">
        <v>411</v>
      </c>
      <c r="AQ112" t="s">
        <v>74</v>
      </c>
      <c r="AR112" t="s">
        <v>412</v>
      </c>
      <c r="AS112" t="s">
        <v>413</v>
      </c>
      <c r="AT112" t="s">
        <v>1613</v>
      </c>
      <c r="AU112">
        <v>1999</v>
      </c>
      <c r="AV112">
        <v>104</v>
      </c>
      <c r="AW112" t="s">
        <v>1715</v>
      </c>
      <c r="AX112" t="s">
        <v>74</v>
      </c>
      <c r="AY112" t="s">
        <v>74</v>
      </c>
      <c r="AZ112" t="s">
        <v>74</v>
      </c>
      <c r="BA112" t="s">
        <v>74</v>
      </c>
      <c r="BB112">
        <v>23367</v>
      </c>
      <c r="BC112">
        <v>23374</v>
      </c>
      <c r="BD112" t="s">
        <v>74</v>
      </c>
      <c r="BE112" t="s">
        <v>1727</v>
      </c>
      <c r="BF112" t="str">
        <f>HYPERLINK("http://dx.doi.org/10.1029/1999JC900191","http://dx.doi.org/10.1029/1999JC900191")</f>
        <v>http://dx.doi.org/10.1029/1999JC900191</v>
      </c>
      <c r="BG112" t="s">
        <v>74</v>
      </c>
      <c r="BH112" t="s">
        <v>74</v>
      </c>
      <c r="BI112">
        <v>8</v>
      </c>
      <c r="BJ112" t="s">
        <v>416</v>
      </c>
      <c r="BK112" t="s">
        <v>96</v>
      </c>
      <c r="BL112" t="s">
        <v>416</v>
      </c>
      <c r="BM112" t="s">
        <v>1717</v>
      </c>
      <c r="BN112" t="s">
        <v>74</v>
      </c>
      <c r="BO112" t="s">
        <v>250</v>
      </c>
      <c r="BP112" t="s">
        <v>74</v>
      </c>
      <c r="BQ112" t="s">
        <v>74</v>
      </c>
      <c r="BR112" t="s">
        <v>99</v>
      </c>
      <c r="BS112" t="s">
        <v>1728</v>
      </c>
      <c r="BT112" t="str">
        <f>HYPERLINK("https%3A%2F%2Fwww.webofscience.com%2Fwos%2Fwoscc%2Ffull-record%2FWOS:000083163500007","View Full Record in Web of Science")</f>
        <v>View Full Record in Web of Science</v>
      </c>
    </row>
    <row r="113" spans="1:72" x14ac:dyDescent="0.15">
      <c r="A113" t="s">
        <v>72</v>
      </c>
      <c r="B113" t="s">
        <v>1729</v>
      </c>
      <c r="C113" t="s">
        <v>74</v>
      </c>
      <c r="D113" t="s">
        <v>74</v>
      </c>
      <c r="E113" t="s">
        <v>74</v>
      </c>
      <c r="F113" t="s">
        <v>1729</v>
      </c>
      <c r="G113" t="s">
        <v>74</v>
      </c>
      <c r="H113" t="s">
        <v>74</v>
      </c>
      <c r="I113" t="s">
        <v>1730</v>
      </c>
      <c r="J113" t="s">
        <v>1731</v>
      </c>
      <c r="K113" t="s">
        <v>74</v>
      </c>
      <c r="L113" t="s">
        <v>74</v>
      </c>
      <c r="M113" t="s">
        <v>77</v>
      </c>
      <c r="N113" t="s">
        <v>78</v>
      </c>
      <c r="O113" t="s">
        <v>74</v>
      </c>
      <c r="P113" t="s">
        <v>74</v>
      </c>
      <c r="Q113" t="s">
        <v>74</v>
      </c>
      <c r="R113" t="s">
        <v>74</v>
      </c>
      <c r="S113" t="s">
        <v>74</v>
      </c>
      <c r="T113" t="s">
        <v>1732</v>
      </c>
      <c r="U113" t="s">
        <v>1733</v>
      </c>
      <c r="V113" t="s">
        <v>1734</v>
      </c>
      <c r="W113" t="s">
        <v>1735</v>
      </c>
      <c r="X113" t="s">
        <v>74</v>
      </c>
      <c r="Y113" t="s">
        <v>1736</v>
      </c>
      <c r="Z113" t="s">
        <v>74</v>
      </c>
      <c r="AA113" t="s">
        <v>74</v>
      </c>
      <c r="AB113" t="s">
        <v>74</v>
      </c>
      <c r="AC113" t="s">
        <v>74</v>
      </c>
      <c r="AD113" t="s">
        <v>74</v>
      </c>
      <c r="AE113" t="s">
        <v>74</v>
      </c>
      <c r="AF113" t="s">
        <v>74</v>
      </c>
      <c r="AG113">
        <v>56</v>
      </c>
      <c r="AH113">
        <v>24</v>
      </c>
      <c r="AI113">
        <v>29</v>
      </c>
      <c r="AJ113">
        <v>1</v>
      </c>
      <c r="AK113">
        <v>4</v>
      </c>
      <c r="AL113" t="s">
        <v>210</v>
      </c>
      <c r="AM113" t="s">
        <v>211</v>
      </c>
      <c r="AN113" t="s">
        <v>212</v>
      </c>
      <c r="AO113" t="s">
        <v>1737</v>
      </c>
      <c r="AP113" t="s">
        <v>74</v>
      </c>
      <c r="AQ113" t="s">
        <v>74</v>
      </c>
      <c r="AR113" t="s">
        <v>1738</v>
      </c>
      <c r="AS113" t="s">
        <v>1739</v>
      </c>
      <c r="AT113" t="s">
        <v>1613</v>
      </c>
      <c r="AU113">
        <v>1999</v>
      </c>
      <c r="AV113">
        <v>128</v>
      </c>
      <c r="AW113" t="s">
        <v>141</v>
      </c>
      <c r="AX113" t="s">
        <v>74</v>
      </c>
      <c r="AY113" t="s">
        <v>74</v>
      </c>
      <c r="AZ113" t="s">
        <v>74</v>
      </c>
      <c r="BA113" t="s">
        <v>74</v>
      </c>
      <c r="BB113">
        <v>223</v>
      </c>
      <c r="BC113">
        <v>244</v>
      </c>
      <c r="BD113" t="s">
        <v>74</v>
      </c>
      <c r="BE113" t="s">
        <v>1740</v>
      </c>
      <c r="BF113" t="str">
        <f>HYPERLINK("http://dx.doi.org/10.1016/S0037-0738(99)00071-8","http://dx.doi.org/10.1016/S0037-0738(99)00071-8")</f>
        <v>http://dx.doi.org/10.1016/S0037-0738(99)00071-8</v>
      </c>
      <c r="BG113" t="s">
        <v>74</v>
      </c>
      <c r="BH113" t="s">
        <v>74</v>
      </c>
      <c r="BI113">
        <v>22</v>
      </c>
      <c r="BJ113" t="s">
        <v>388</v>
      </c>
      <c r="BK113" t="s">
        <v>96</v>
      </c>
      <c r="BL113" t="s">
        <v>388</v>
      </c>
      <c r="BM113" t="s">
        <v>1741</v>
      </c>
      <c r="BN113" t="s">
        <v>74</v>
      </c>
      <c r="BO113" t="s">
        <v>74</v>
      </c>
      <c r="BP113" t="s">
        <v>74</v>
      </c>
      <c r="BQ113" t="s">
        <v>74</v>
      </c>
      <c r="BR113" t="s">
        <v>99</v>
      </c>
      <c r="BS113" t="s">
        <v>1742</v>
      </c>
      <c r="BT113" t="str">
        <f>HYPERLINK("https%3A%2F%2Fwww.webofscience.com%2Fwos%2Fwoscc%2Ffull-record%2FWOS:000083584800003","View Full Record in Web of Science")</f>
        <v>View Full Record in Web of Science</v>
      </c>
    </row>
    <row r="114" spans="1:72" x14ac:dyDescent="0.15">
      <c r="A114" t="s">
        <v>72</v>
      </c>
      <c r="B114" t="s">
        <v>1743</v>
      </c>
      <c r="C114" t="s">
        <v>74</v>
      </c>
      <c r="D114" t="s">
        <v>74</v>
      </c>
      <c r="E114" t="s">
        <v>74</v>
      </c>
      <c r="F114" t="s">
        <v>1743</v>
      </c>
      <c r="G114" t="s">
        <v>74</v>
      </c>
      <c r="H114" t="s">
        <v>74</v>
      </c>
      <c r="I114" t="s">
        <v>1744</v>
      </c>
      <c r="J114" t="s">
        <v>1731</v>
      </c>
      <c r="K114" t="s">
        <v>74</v>
      </c>
      <c r="L114" t="s">
        <v>74</v>
      </c>
      <c r="M114" t="s">
        <v>77</v>
      </c>
      <c r="N114" t="s">
        <v>78</v>
      </c>
      <c r="O114" t="s">
        <v>74</v>
      </c>
      <c r="P114" t="s">
        <v>74</v>
      </c>
      <c r="Q114" t="s">
        <v>74</v>
      </c>
      <c r="R114" t="s">
        <v>74</v>
      </c>
      <c r="S114" t="s">
        <v>74</v>
      </c>
      <c r="T114" t="s">
        <v>1745</v>
      </c>
      <c r="U114" t="s">
        <v>1746</v>
      </c>
      <c r="V114" t="s">
        <v>1747</v>
      </c>
      <c r="W114" t="s">
        <v>1748</v>
      </c>
      <c r="X114" t="s">
        <v>164</v>
      </c>
      <c r="Y114" t="s">
        <v>1749</v>
      </c>
      <c r="Z114" t="s">
        <v>1750</v>
      </c>
      <c r="AA114" t="s">
        <v>1751</v>
      </c>
      <c r="AB114" t="s">
        <v>1752</v>
      </c>
      <c r="AC114" t="s">
        <v>74</v>
      </c>
      <c r="AD114" t="s">
        <v>74</v>
      </c>
      <c r="AE114" t="s">
        <v>74</v>
      </c>
      <c r="AF114" t="s">
        <v>74</v>
      </c>
      <c r="AG114">
        <v>78</v>
      </c>
      <c r="AH114">
        <v>23</v>
      </c>
      <c r="AI114">
        <v>24</v>
      </c>
      <c r="AJ114">
        <v>0</v>
      </c>
      <c r="AK114">
        <v>11</v>
      </c>
      <c r="AL114" t="s">
        <v>210</v>
      </c>
      <c r="AM114" t="s">
        <v>211</v>
      </c>
      <c r="AN114" t="s">
        <v>212</v>
      </c>
      <c r="AO114" t="s">
        <v>1737</v>
      </c>
      <c r="AP114" t="s">
        <v>1753</v>
      </c>
      <c r="AQ114" t="s">
        <v>74</v>
      </c>
      <c r="AR114" t="s">
        <v>1738</v>
      </c>
      <c r="AS114" t="s">
        <v>1739</v>
      </c>
      <c r="AT114" t="s">
        <v>1613</v>
      </c>
      <c r="AU114">
        <v>1999</v>
      </c>
      <c r="AV114">
        <v>128</v>
      </c>
      <c r="AW114" t="s">
        <v>141</v>
      </c>
      <c r="AX114" t="s">
        <v>74</v>
      </c>
      <c r="AY114" t="s">
        <v>74</v>
      </c>
      <c r="AZ114" t="s">
        <v>74</v>
      </c>
      <c r="BA114" t="s">
        <v>74</v>
      </c>
      <c r="BB114">
        <v>271</v>
      </c>
      <c r="BC114">
        <v>292</v>
      </c>
      <c r="BD114" t="s">
        <v>74</v>
      </c>
      <c r="BE114" t="s">
        <v>1754</v>
      </c>
      <c r="BF114" t="str">
        <f>HYPERLINK("http://dx.doi.org/10.1016/S0037-0738(99)00074-3","http://dx.doi.org/10.1016/S0037-0738(99)00074-3")</f>
        <v>http://dx.doi.org/10.1016/S0037-0738(99)00074-3</v>
      </c>
      <c r="BG114" t="s">
        <v>74</v>
      </c>
      <c r="BH114" t="s">
        <v>74</v>
      </c>
      <c r="BI114">
        <v>22</v>
      </c>
      <c r="BJ114" t="s">
        <v>388</v>
      </c>
      <c r="BK114" t="s">
        <v>96</v>
      </c>
      <c r="BL114" t="s">
        <v>388</v>
      </c>
      <c r="BM114" t="s">
        <v>1741</v>
      </c>
      <c r="BN114" t="s">
        <v>74</v>
      </c>
      <c r="BO114" t="s">
        <v>74</v>
      </c>
      <c r="BP114" t="s">
        <v>74</v>
      </c>
      <c r="BQ114" t="s">
        <v>74</v>
      </c>
      <c r="BR114" t="s">
        <v>99</v>
      </c>
      <c r="BS114" t="s">
        <v>1755</v>
      </c>
      <c r="BT114" t="str">
        <f>HYPERLINK("https%3A%2F%2Fwww.webofscience.com%2Fwos%2Fwoscc%2Ffull-record%2FWOS:000083584800005","View Full Record in Web of Science")</f>
        <v>View Full Record in Web of Science</v>
      </c>
    </row>
    <row r="115" spans="1:72" x14ac:dyDescent="0.15">
      <c r="A115" t="s">
        <v>72</v>
      </c>
      <c r="B115" t="s">
        <v>1756</v>
      </c>
      <c r="C115" t="s">
        <v>74</v>
      </c>
      <c r="D115" t="s">
        <v>74</v>
      </c>
      <c r="E115" t="s">
        <v>74</v>
      </c>
      <c r="F115" t="s">
        <v>1756</v>
      </c>
      <c r="G115" t="s">
        <v>74</v>
      </c>
      <c r="H115" t="s">
        <v>74</v>
      </c>
      <c r="I115" t="s">
        <v>1757</v>
      </c>
      <c r="J115" t="s">
        <v>458</v>
      </c>
      <c r="K115" t="s">
        <v>74</v>
      </c>
      <c r="L115" t="s">
        <v>74</v>
      </c>
      <c r="M115" t="s">
        <v>77</v>
      </c>
      <c r="N115" t="s">
        <v>78</v>
      </c>
      <c r="O115" t="s">
        <v>74</v>
      </c>
      <c r="P115" t="s">
        <v>74</v>
      </c>
      <c r="Q115" t="s">
        <v>74</v>
      </c>
      <c r="R115" t="s">
        <v>74</v>
      </c>
      <c r="S115" t="s">
        <v>74</v>
      </c>
      <c r="T115" t="s">
        <v>74</v>
      </c>
      <c r="U115" t="s">
        <v>1758</v>
      </c>
      <c r="V115" t="s">
        <v>1759</v>
      </c>
      <c r="W115" t="s">
        <v>1760</v>
      </c>
      <c r="X115" t="s">
        <v>1761</v>
      </c>
      <c r="Y115" t="s">
        <v>1762</v>
      </c>
      <c r="Z115" t="s">
        <v>1763</v>
      </c>
      <c r="AA115" t="s">
        <v>74</v>
      </c>
      <c r="AB115" t="s">
        <v>1764</v>
      </c>
      <c r="AC115" t="s">
        <v>74</v>
      </c>
      <c r="AD115" t="s">
        <v>74</v>
      </c>
      <c r="AE115" t="s">
        <v>74</v>
      </c>
      <c r="AF115" t="s">
        <v>74</v>
      </c>
      <c r="AG115">
        <v>57</v>
      </c>
      <c r="AH115">
        <v>15</v>
      </c>
      <c r="AI115">
        <v>17</v>
      </c>
      <c r="AJ115">
        <v>0</v>
      </c>
      <c r="AK115">
        <v>4</v>
      </c>
      <c r="AL115" t="s">
        <v>230</v>
      </c>
      <c r="AM115" t="s">
        <v>231</v>
      </c>
      <c r="AN115" t="s">
        <v>232</v>
      </c>
      <c r="AO115" t="s">
        <v>465</v>
      </c>
      <c r="AP115" t="s">
        <v>466</v>
      </c>
      <c r="AQ115" t="s">
        <v>74</v>
      </c>
      <c r="AR115" t="s">
        <v>467</v>
      </c>
      <c r="AS115" t="s">
        <v>468</v>
      </c>
      <c r="AT115" t="s">
        <v>1765</v>
      </c>
      <c r="AU115">
        <v>1999</v>
      </c>
      <c r="AV115">
        <v>104</v>
      </c>
      <c r="AW115" t="s">
        <v>1766</v>
      </c>
      <c r="AX115" t="s">
        <v>74</v>
      </c>
      <c r="AY115" t="s">
        <v>74</v>
      </c>
      <c r="AZ115" t="s">
        <v>74</v>
      </c>
      <c r="BA115" t="s">
        <v>74</v>
      </c>
      <c r="BB115">
        <v>22845</v>
      </c>
      <c r="BC115">
        <v>22858</v>
      </c>
      <c r="BD115" t="s">
        <v>74</v>
      </c>
      <c r="BE115" t="s">
        <v>1767</v>
      </c>
      <c r="BF115" t="str">
        <f>HYPERLINK("http://dx.doi.org/10.1029/1999JB900154","http://dx.doi.org/10.1029/1999JB900154")</f>
        <v>http://dx.doi.org/10.1029/1999JB900154</v>
      </c>
      <c r="BG115" t="s">
        <v>74</v>
      </c>
      <c r="BH115" t="s">
        <v>74</v>
      </c>
      <c r="BI115">
        <v>14</v>
      </c>
      <c r="BJ115" t="s">
        <v>216</v>
      </c>
      <c r="BK115" t="s">
        <v>96</v>
      </c>
      <c r="BL115" t="s">
        <v>216</v>
      </c>
      <c r="BM115" t="s">
        <v>1768</v>
      </c>
      <c r="BN115" t="s">
        <v>74</v>
      </c>
      <c r="BO115" t="s">
        <v>250</v>
      </c>
      <c r="BP115" t="s">
        <v>74</v>
      </c>
      <c r="BQ115" t="s">
        <v>74</v>
      </c>
      <c r="BR115" t="s">
        <v>99</v>
      </c>
      <c r="BS115" t="s">
        <v>1769</v>
      </c>
      <c r="BT115" t="str">
        <f>HYPERLINK("https%3A%2F%2Fwww.webofscience.com%2Fwos%2Fwoscc%2Ffull-record%2FWOS:000083019100002","View Full Record in Web of Science")</f>
        <v>View Full Record in Web of Science</v>
      </c>
    </row>
    <row r="116" spans="1:72" x14ac:dyDescent="0.15">
      <c r="A116" t="s">
        <v>72</v>
      </c>
      <c r="B116" t="s">
        <v>1770</v>
      </c>
      <c r="C116" t="s">
        <v>74</v>
      </c>
      <c r="D116" t="s">
        <v>74</v>
      </c>
      <c r="E116" t="s">
        <v>74</v>
      </c>
      <c r="F116" t="s">
        <v>1770</v>
      </c>
      <c r="G116" t="s">
        <v>74</v>
      </c>
      <c r="H116" t="s">
        <v>74</v>
      </c>
      <c r="I116" t="s">
        <v>1771</v>
      </c>
      <c r="J116" t="s">
        <v>458</v>
      </c>
      <c r="K116" t="s">
        <v>74</v>
      </c>
      <c r="L116" t="s">
        <v>74</v>
      </c>
      <c r="M116" t="s">
        <v>77</v>
      </c>
      <c r="N116" t="s">
        <v>78</v>
      </c>
      <c r="O116" t="s">
        <v>74</v>
      </c>
      <c r="P116" t="s">
        <v>74</v>
      </c>
      <c r="Q116" t="s">
        <v>74</v>
      </c>
      <c r="R116" t="s">
        <v>74</v>
      </c>
      <c r="S116" t="s">
        <v>74</v>
      </c>
      <c r="T116" t="s">
        <v>74</v>
      </c>
      <c r="U116" t="s">
        <v>1772</v>
      </c>
      <c r="V116" t="s">
        <v>1773</v>
      </c>
      <c r="W116" t="s">
        <v>1774</v>
      </c>
      <c r="X116" t="s">
        <v>1775</v>
      </c>
      <c r="Y116" t="s">
        <v>1776</v>
      </c>
      <c r="Z116" t="s">
        <v>1777</v>
      </c>
      <c r="AA116" t="s">
        <v>1778</v>
      </c>
      <c r="AB116" t="s">
        <v>1779</v>
      </c>
      <c r="AC116" t="s">
        <v>74</v>
      </c>
      <c r="AD116" t="s">
        <v>74</v>
      </c>
      <c r="AE116" t="s">
        <v>74</v>
      </c>
      <c r="AF116" t="s">
        <v>74</v>
      </c>
      <c r="AG116">
        <v>100</v>
      </c>
      <c r="AH116">
        <v>37</v>
      </c>
      <c r="AI116">
        <v>41</v>
      </c>
      <c r="AJ116">
        <v>0</v>
      </c>
      <c r="AK116">
        <v>5</v>
      </c>
      <c r="AL116" t="s">
        <v>230</v>
      </c>
      <c r="AM116" t="s">
        <v>231</v>
      </c>
      <c r="AN116" t="s">
        <v>232</v>
      </c>
      <c r="AO116" t="s">
        <v>465</v>
      </c>
      <c r="AP116" t="s">
        <v>466</v>
      </c>
      <c r="AQ116" t="s">
        <v>74</v>
      </c>
      <c r="AR116" t="s">
        <v>467</v>
      </c>
      <c r="AS116" t="s">
        <v>468</v>
      </c>
      <c r="AT116" t="s">
        <v>1765</v>
      </c>
      <c r="AU116">
        <v>1999</v>
      </c>
      <c r="AV116">
        <v>104</v>
      </c>
      <c r="AW116" t="s">
        <v>1766</v>
      </c>
      <c r="AX116" t="s">
        <v>74</v>
      </c>
      <c r="AY116" t="s">
        <v>74</v>
      </c>
      <c r="AZ116" t="s">
        <v>74</v>
      </c>
      <c r="BA116" t="s">
        <v>74</v>
      </c>
      <c r="BB116">
        <v>23051</v>
      </c>
      <c r="BC116">
        <v>23068</v>
      </c>
      <c r="BD116" t="s">
        <v>74</v>
      </c>
      <c r="BE116" t="s">
        <v>1780</v>
      </c>
      <c r="BF116" t="str">
        <f>HYPERLINK("http://dx.doi.org/10.1029/1999JB900180","http://dx.doi.org/10.1029/1999JB900180")</f>
        <v>http://dx.doi.org/10.1029/1999JB900180</v>
      </c>
      <c r="BG116" t="s">
        <v>74</v>
      </c>
      <c r="BH116" t="s">
        <v>74</v>
      </c>
      <c r="BI116">
        <v>18</v>
      </c>
      <c r="BJ116" t="s">
        <v>216</v>
      </c>
      <c r="BK116" t="s">
        <v>96</v>
      </c>
      <c r="BL116" t="s">
        <v>216</v>
      </c>
      <c r="BM116" t="s">
        <v>1768</v>
      </c>
      <c r="BN116" t="s">
        <v>74</v>
      </c>
      <c r="BO116" t="s">
        <v>250</v>
      </c>
      <c r="BP116" t="s">
        <v>74</v>
      </c>
      <c r="BQ116" t="s">
        <v>74</v>
      </c>
      <c r="BR116" t="s">
        <v>99</v>
      </c>
      <c r="BS116" t="s">
        <v>1781</v>
      </c>
      <c r="BT116" t="str">
        <f>HYPERLINK("https%3A%2F%2Fwww.webofscience.com%2Fwos%2Fwoscc%2Ffull-record%2FWOS:000083019100014","View Full Record in Web of Science")</f>
        <v>View Full Record in Web of Science</v>
      </c>
    </row>
    <row r="117" spans="1:72" x14ac:dyDescent="0.15">
      <c r="A117" t="s">
        <v>72</v>
      </c>
      <c r="B117" t="s">
        <v>1782</v>
      </c>
      <c r="C117" t="s">
        <v>74</v>
      </c>
      <c r="D117" t="s">
        <v>74</v>
      </c>
      <c r="E117" t="s">
        <v>74</v>
      </c>
      <c r="F117" t="s">
        <v>1782</v>
      </c>
      <c r="G117" t="s">
        <v>74</v>
      </c>
      <c r="H117" t="s">
        <v>74</v>
      </c>
      <c r="I117" t="s">
        <v>1783</v>
      </c>
      <c r="J117" t="s">
        <v>458</v>
      </c>
      <c r="K117" t="s">
        <v>74</v>
      </c>
      <c r="L117" t="s">
        <v>74</v>
      </c>
      <c r="M117" t="s">
        <v>77</v>
      </c>
      <c r="N117" t="s">
        <v>78</v>
      </c>
      <c r="O117" t="s">
        <v>74</v>
      </c>
      <c r="P117" t="s">
        <v>74</v>
      </c>
      <c r="Q117" t="s">
        <v>74</v>
      </c>
      <c r="R117" t="s">
        <v>74</v>
      </c>
      <c r="S117" t="s">
        <v>74</v>
      </c>
      <c r="T117" t="s">
        <v>74</v>
      </c>
      <c r="U117" t="s">
        <v>1784</v>
      </c>
      <c r="V117" t="s">
        <v>1785</v>
      </c>
      <c r="W117" t="s">
        <v>1786</v>
      </c>
      <c r="X117" t="s">
        <v>1787</v>
      </c>
      <c r="Y117" t="s">
        <v>1788</v>
      </c>
      <c r="Z117" t="s">
        <v>1789</v>
      </c>
      <c r="AA117" t="s">
        <v>74</v>
      </c>
      <c r="AB117" t="s">
        <v>74</v>
      </c>
      <c r="AC117" t="s">
        <v>74</v>
      </c>
      <c r="AD117" t="s">
        <v>74</v>
      </c>
      <c r="AE117" t="s">
        <v>74</v>
      </c>
      <c r="AF117" t="s">
        <v>74</v>
      </c>
      <c r="AG117">
        <v>47</v>
      </c>
      <c r="AH117">
        <v>136</v>
      </c>
      <c r="AI117">
        <v>156</v>
      </c>
      <c r="AJ117">
        <v>0</v>
      </c>
      <c r="AK117">
        <v>21</v>
      </c>
      <c r="AL117" t="s">
        <v>230</v>
      </c>
      <c r="AM117" t="s">
        <v>231</v>
      </c>
      <c r="AN117" t="s">
        <v>232</v>
      </c>
      <c r="AO117" t="s">
        <v>465</v>
      </c>
      <c r="AP117" t="s">
        <v>466</v>
      </c>
      <c r="AQ117" t="s">
        <v>74</v>
      </c>
      <c r="AR117" t="s">
        <v>467</v>
      </c>
      <c r="AS117" t="s">
        <v>468</v>
      </c>
      <c r="AT117" t="s">
        <v>1765</v>
      </c>
      <c r="AU117">
        <v>1999</v>
      </c>
      <c r="AV117">
        <v>104</v>
      </c>
      <c r="AW117" t="s">
        <v>1766</v>
      </c>
      <c r="AX117" t="s">
        <v>74</v>
      </c>
      <c r="AY117" t="s">
        <v>74</v>
      </c>
      <c r="AZ117" t="s">
        <v>74</v>
      </c>
      <c r="BA117" t="s">
        <v>74</v>
      </c>
      <c r="BB117">
        <v>23199</v>
      </c>
      <c r="BC117">
        <v>23213</v>
      </c>
      <c r="BD117" t="s">
        <v>74</v>
      </c>
      <c r="BE117" t="s">
        <v>1790</v>
      </c>
      <c r="BF117" t="str">
        <f>HYPERLINK("http://dx.doi.org/10.1029/1999JB900224","http://dx.doi.org/10.1029/1999JB900224")</f>
        <v>http://dx.doi.org/10.1029/1999JB900224</v>
      </c>
      <c r="BG117" t="s">
        <v>74</v>
      </c>
      <c r="BH117" t="s">
        <v>74</v>
      </c>
      <c r="BI117">
        <v>15</v>
      </c>
      <c r="BJ117" t="s">
        <v>216</v>
      </c>
      <c r="BK117" t="s">
        <v>96</v>
      </c>
      <c r="BL117" t="s">
        <v>216</v>
      </c>
      <c r="BM117" t="s">
        <v>1768</v>
      </c>
      <c r="BN117" t="s">
        <v>74</v>
      </c>
      <c r="BO117" t="s">
        <v>250</v>
      </c>
      <c r="BP117" t="s">
        <v>74</v>
      </c>
      <c r="BQ117" t="s">
        <v>74</v>
      </c>
      <c r="BR117" t="s">
        <v>99</v>
      </c>
      <c r="BS117" t="s">
        <v>1791</v>
      </c>
      <c r="BT117" t="str">
        <f>HYPERLINK("https%3A%2F%2Fwww.webofscience.com%2Fwos%2Fwoscc%2Ffull-record%2FWOS:000083019100024","View Full Record in Web of Science")</f>
        <v>View Full Record in Web of Science</v>
      </c>
    </row>
    <row r="118" spans="1:72" x14ac:dyDescent="0.15">
      <c r="A118" t="s">
        <v>72</v>
      </c>
      <c r="B118" t="s">
        <v>1792</v>
      </c>
      <c r="C118" t="s">
        <v>74</v>
      </c>
      <c r="D118" t="s">
        <v>74</v>
      </c>
      <c r="E118" t="s">
        <v>74</v>
      </c>
      <c r="F118" t="s">
        <v>1792</v>
      </c>
      <c r="G118" t="s">
        <v>74</v>
      </c>
      <c r="H118" t="s">
        <v>74</v>
      </c>
      <c r="I118" t="s">
        <v>1793</v>
      </c>
      <c r="J118" t="s">
        <v>1794</v>
      </c>
      <c r="K118" t="s">
        <v>74</v>
      </c>
      <c r="L118" t="s">
        <v>74</v>
      </c>
      <c r="M118" t="s">
        <v>77</v>
      </c>
      <c r="N118" t="s">
        <v>78</v>
      </c>
      <c r="O118" t="s">
        <v>74</v>
      </c>
      <c r="P118" t="s">
        <v>74</v>
      </c>
      <c r="Q118" t="s">
        <v>74</v>
      </c>
      <c r="R118" t="s">
        <v>74</v>
      </c>
      <c r="S118" t="s">
        <v>74</v>
      </c>
      <c r="T118" t="s">
        <v>74</v>
      </c>
      <c r="U118" t="s">
        <v>1795</v>
      </c>
      <c r="V118" t="s">
        <v>1796</v>
      </c>
      <c r="W118" t="s">
        <v>1797</v>
      </c>
      <c r="X118" t="s">
        <v>1798</v>
      </c>
      <c r="Y118" t="s">
        <v>1799</v>
      </c>
      <c r="Z118" t="s">
        <v>74</v>
      </c>
      <c r="AA118" t="s">
        <v>1800</v>
      </c>
      <c r="AB118" t="s">
        <v>1801</v>
      </c>
      <c r="AC118" t="s">
        <v>74</v>
      </c>
      <c r="AD118" t="s">
        <v>74</v>
      </c>
      <c r="AE118" t="s">
        <v>74</v>
      </c>
      <c r="AF118" t="s">
        <v>74</v>
      </c>
      <c r="AG118">
        <v>44</v>
      </c>
      <c r="AH118">
        <v>86</v>
      </c>
      <c r="AI118">
        <v>99</v>
      </c>
      <c r="AJ118">
        <v>0</v>
      </c>
      <c r="AK118">
        <v>12</v>
      </c>
      <c r="AL118" t="s">
        <v>1802</v>
      </c>
      <c r="AM118" t="s">
        <v>231</v>
      </c>
      <c r="AN118" t="s">
        <v>1803</v>
      </c>
      <c r="AO118" t="s">
        <v>1804</v>
      </c>
      <c r="AP118" t="s">
        <v>74</v>
      </c>
      <c r="AQ118" t="s">
        <v>74</v>
      </c>
      <c r="AR118" t="s">
        <v>1794</v>
      </c>
      <c r="AS118" t="s">
        <v>1805</v>
      </c>
      <c r="AT118" t="s">
        <v>1806</v>
      </c>
      <c r="AU118">
        <v>1999</v>
      </c>
      <c r="AV118">
        <v>286</v>
      </c>
      <c r="AW118">
        <v>5438</v>
      </c>
      <c r="AX118" t="s">
        <v>74</v>
      </c>
      <c r="AY118" t="s">
        <v>74</v>
      </c>
      <c r="AZ118" t="s">
        <v>74</v>
      </c>
      <c r="BA118" t="s">
        <v>74</v>
      </c>
      <c r="BB118">
        <v>276</v>
      </c>
      <c r="BC118">
        <v>280</v>
      </c>
      <c r="BD118" t="s">
        <v>74</v>
      </c>
      <c r="BE118" t="s">
        <v>1807</v>
      </c>
      <c r="BF118" t="str">
        <f>HYPERLINK("http://dx.doi.org/10.1126/science.286.5438.276","http://dx.doi.org/10.1126/science.286.5438.276")</f>
        <v>http://dx.doi.org/10.1126/science.286.5438.276</v>
      </c>
      <c r="BG118" t="s">
        <v>74</v>
      </c>
      <c r="BH118" t="s">
        <v>74</v>
      </c>
      <c r="BI118">
        <v>5</v>
      </c>
      <c r="BJ118" t="s">
        <v>303</v>
      </c>
      <c r="BK118" t="s">
        <v>96</v>
      </c>
      <c r="BL118" t="s">
        <v>304</v>
      </c>
      <c r="BM118" t="s">
        <v>1808</v>
      </c>
      <c r="BN118">
        <v>10514368</v>
      </c>
      <c r="BO118" t="s">
        <v>74</v>
      </c>
      <c r="BP118" t="s">
        <v>74</v>
      </c>
      <c r="BQ118" t="s">
        <v>74</v>
      </c>
      <c r="BR118" t="s">
        <v>99</v>
      </c>
      <c r="BS118" t="s">
        <v>1809</v>
      </c>
      <c r="BT118" t="str">
        <f>HYPERLINK("https%3A%2F%2Fwww.webofscience.com%2Fwos%2Fwoscc%2Ffull-record%2FWOS:000083024400040","View Full Record in Web of Science")</f>
        <v>View Full Record in Web of Science</v>
      </c>
    </row>
    <row r="119" spans="1:72" x14ac:dyDescent="0.15">
      <c r="A119" t="s">
        <v>72</v>
      </c>
      <c r="B119" t="s">
        <v>1810</v>
      </c>
      <c r="C119" t="s">
        <v>74</v>
      </c>
      <c r="D119" t="s">
        <v>74</v>
      </c>
      <c r="E119" t="s">
        <v>74</v>
      </c>
      <c r="F119" t="s">
        <v>1810</v>
      </c>
      <c r="G119" t="s">
        <v>74</v>
      </c>
      <c r="H119" t="s">
        <v>74</v>
      </c>
      <c r="I119" t="s">
        <v>1811</v>
      </c>
      <c r="J119" t="s">
        <v>1794</v>
      </c>
      <c r="K119" t="s">
        <v>74</v>
      </c>
      <c r="L119" t="s">
        <v>74</v>
      </c>
      <c r="M119" t="s">
        <v>77</v>
      </c>
      <c r="N119" t="s">
        <v>78</v>
      </c>
      <c r="O119" t="s">
        <v>74</v>
      </c>
      <c r="P119" t="s">
        <v>74</v>
      </c>
      <c r="Q119" t="s">
        <v>74</v>
      </c>
      <c r="R119" t="s">
        <v>74</v>
      </c>
      <c r="S119" t="s">
        <v>74</v>
      </c>
      <c r="T119" t="s">
        <v>74</v>
      </c>
      <c r="U119" t="s">
        <v>1812</v>
      </c>
      <c r="V119" t="s">
        <v>1813</v>
      </c>
      <c r="W119" t="s">
        <v>1814</v>
      </c>
      <c r="X119" t="s">
        <v>1815</v>
      </c>
      <c r="Y119" t="s">
        <v>1816</v>
      </c>
      <c r="Z119" t="s">
        <v>74</v>
      </c>
      <c r="AA119" t="s">
        <v>74</v>
      </c>
      <c r="AB119" t="s">
        <v>1817</v>
      </c>
      <c r="AC119" t="s">
        <v>74</v>
      </c>
      <c r="AD119" t="s">
        <v>74</v>
      </c>
      <c r="AE119" t="s">
        <v>74</v>
      </c>
      <c r="AF119" t="s">
        <v>74</v>
      </c>
      <c r="AG119">
        <v>49</v>
      </c>
      <c r="AH119">
        <v>342</v>
      </c>
      <c r="AI119">
        <v>391</v>
      </c>
      <c r="AJ119">
        <v>2</v>
      </c>
      <c r="AK119">
        <v>46</v>
      </c>
      <c r="AL119" t="s">
        <v>1802</v>
      </c>
      <c r="AM119" t="s">
        <v>231</v>
      </c>
      <c r="AN119" t="s">
        <v>1803</v>
      </c>
      <c r="AO119" t="s">
        <v>1804</v>
      </c>
      <c r="AP119" t="s">
        <v>74</v>
      </c>
      <c r="AQ119" t="s">
        <v>74</v>
      </c>
      <c r="AR119" t="s">
        <v>1794</v>
      </c>
      <c r="AS119" t="s">
        <v>1805</v>
      </c>
      <c r="AT119" t="s">
        <v>1806</v>
      </c>
      <c r="AU119">
        <v>1999</v>
      </c>
      <c r="AV119">
        <v>286</v>
      </c>
      <c r="AW119">
        <v>5438</v>
      </c>
      <c r="AX119" t="s">
        <v>74</v>
      </c>
      <c r="AY119" t="s">
        <v>74</v>
      </c>
      <c r="AZ119" t="s">
        <v>74</v>
      </c>
      <c r="BA119" t="s">
        <v>74</v>
      </c>
      <c r="BB119">
        <v>280</v>
      </c>
      <c r="BC119">
        <v>283</v>
      </c>
      <c r="BD119" t="s">
        <v>74</v>
      </c>
      <c r="BE119" t="s">
        <v>1818</v>
      </c>
      <c r="BF119" t="str">
        <f>HYPERLINK("http://dx.doi.org/10.1126/science.286.5438.280","http://dx.doi.org/10.1126/science.286.5438.280")</f>
        <v>http://dx.doi.org/10.1126/science.286.5438.280</v>
      </c>
      <c r="BG119" t="s">
        <v>74</v>
      </c>
      <c r="BH119" t="s">
        <v>74</v>
      </c>
      <c r="BI119">
        <v>4</v>
      </c>
      <c r="BJ119" t="s">
        <v>303</v>
      </c>
      <c r="BK119" t="s">
        <v>96</v>
      </c>
      <c r="BL119" t="s">
        <v>304</v>
      </c>
      <c r="BM119" t="s">
        <v>1808</v>
      </c>
      <c r="BN119">
        <v>10514369</v>
      </c>
      <c r="BO119" t="s">
        <v>74</v>
      </c>
      <c r="BP119" t="s">
        <v>74</v>
      </c>
      <c r="BQ119" t="s">
        <v>74</v>
      </c>
      <c r="BR119" t="s">
        <v>99</v>
      </c>
      <c r="BS119" t="s">
        <v>1819</v>
      </c>
      <c r="BT119" t="str">
        <f>HYPERLINK("https%3A%2F%2Fwww.webofscience.com%2Fwos%2Fwoscc%2Ffull-record%2FWOS:000083024400041","View Full Record in Web of Science")</f>
        <v>View Full Record in Web of Science</v>
      </c>
    </row>
    <row r="120" spans="1:72" x14ac:dyDescent="0.15">
      <c r="A120" t="s">
        <v>72</v>
      </c>
      <c r="B120" t="s">
        <v>1820</v>
      </c>
      <c r="C120" t="s">
        <v>74</v>
      </c>
      <c r="D120" t="s">
        <v>74</v>
      </c>
      <c r="E120" t="s">
        <v>74</v>
      </c>
      <c r="F120" t="s">
        <v>1820</v>
      </c>
      <c r="G120" t="s">
        <v>74</v>
      </c>
      <c r="H120" t="s">
        <v>74</v>
      </c>
      <c r="I120" t="s">
        <v>1821</v>
      </c>
      <c r="J120" t="s">
        <v>1794</v>
      </c>
      <c r="K120" t="s">
        <v>74</v>
      </c>
      <c r="L120" t="s">
        <v>74</v>
      </c>
      <c r="M120" t="s">
        <v>77</v>
      </c>
      <c r="N120" t="s">
        <v>78</v>
      </c>
      <c r="O120" t="s">
        <v>74</v>
      </c>
      <c r="P120" t="s">
        <v>74</v>
      </c>
      <c r="Q120" t="s">
        <v>74</v>
      </c>
      <c r="R120" t="s">
        <v>74</v>
      </c>
      <c r="S120" t="s">
        <v>74</v>
      </c>
      <c r="T120" t="s">
        <v>74</v>
      </c>
      <c r="U120" t="s">
        <v>1822</v>
      </c>
      <c r="V120" t="s">
        <v>1823</v>
      </c>
      <c r="W120" t="s">
        <v>1824</v>
      </c>
      <c r="X120" t="s">
        <v>1825</v>
      </c>
      <c r="Y120" t="s">
        <v>1826</v>
      </c>
      <c r="Z120" t="s">
        <v>1827</v>
      </c>
      <c r="AA120" t="s">
        <v>1828</v>
      </c>
      <c r="AB120" t="s">
        <v>1829</v>
      </c>
      <c r="AC120" t="s">
        <v>74</v>
      </c>
      <c r="AD120" t="s">
        <v>74</v>
      </c>
      <c r="AE120" t="s">
        <v>74</v>
      </c>
      <c r="AF120" t="s">
        <v>74</v>
      </c>
      <c r="AG120">
        <v>37</v>
      </c>
      <c r="AH120">
        <v>157</v>
      </c>
      <c r="AI120">
        <v>166</v>
      </c>
      <c r="AJ120">
        <v>0</v>
      </c>
      <c r="AK120">
        <v>22</v>
      </c>
      <c r="AL120" t="s">
        <v>1802</v>
      </c>
      <c r="AM120" t="s">
        <v>231</v>
      </c>
      <c r="AN120" t="s">
        <v>1803</v>
      </c>
      <c r="AO120" t="s">
        <v>1804</v>
      </c>
      <c r="AP120" t="s">
        <v>1830</v>
      </c>
      <c r="AQ120" t="s">
        <v>74</v>
      </c>
      <c r="AR120" t="s">
        <v>1794</v>
      </c>
      <c r="AS120" t="s">
        <v>1805</v>
      </c>
      <c r="AT120" t="s">
        <v>1806</v>
      </c>
      <c r="AU120">
        <v>1999</v>
      </c>
      <c r="AV120">
        <v>286</v>
      </c>
      <c r="AW120">
        <v>5438</v>
      </c>
      <c r="AX120" t="s">
        <v>74</v>
      </c>
      <c r="AY120" t="s">
        <v>74</v>
      </c>
      <c r="AZ120" t="s">
        <v>74</v>
      </c>
      <c r="BA120" t="s">
        <v>74</v>
      </c>
      <c r="BB120">
        <v>283</v>
      </c>
      <c r="BC120">
        <v>286</v>
      </c>
      <c r="BD120" t="s">
        <v>74</v>
      </c>
      <c r="BE120" t="s">
        <v>1831</v>
      </c>
      <c r="BF120" t="str">
        <f>HYPERLINK("http://dx.doi.org/10.1126/science.286.5438.283","http://dx.doi.org/10.1126/science.286.5438.283")</f>
        <v>http://dx.doi.org/10.1126/science.286.5438.283</v>
      </c>
      <c r="BG120" t="s">
        <v>74</v>
      </c>
      <c r="BH120" t="s">
        <v>74</v>
      </c>
      <c r="BI120">
        <v>4</v>
      </c>
      <c r="BJ120" t="s">
        <v>303</v>
      </c>
      <c r="BK120" t="s">
        <v>96</v>
      </c>
      <c r="BL120" t="s">
        <v>304</v>
      </c>
      <c r="BM120" t="s">
        <v>1808</v>
      </c>
      <c r="BN120">
        <v>10514370</v>
      </c>
      <c r="BO120" t="s">
        <v>74</v>
      </c>
      <c r="BP120" t="s">
        <v>74</v>
      </c>
      <c r="BQ120" t="s">
        <v>74</v>
      </c>
      <c r="BR120" t="s">
        <v>99</v>
      </c>
      <c r="BS120" t="s">
        <v>1832</v>
      </c>
      <c r="BT120" t="str">
        <f>HYPERLINK("https%3A%2F%2Fwww.webofscience.com%2Fwos%2Fwoscc%2Ffull-record%2FWOS:000083024400042","View Full Record in Web of Science")</f>
        <v>View Full Record in Web of Science</v>
      </c>
    </row>
    <row r="121" spans="1:72" x14ac:dyDescent="0.15">
      <c r="A121" t="s">
        <v>72</v>
      </c>
      <c r="B121" t="s">
        <v>1833</v>
      </c>
      <c r="C121" t="s">
        <v>74</v>
      </c>
      <c r="D121" t="s">
        <v>74</v>
      </c>
      <c r="E121" t="s">
        <v>74</v>
      </c>
      <c r="F121" t="s">
        <v>1833</v>
      </c>
      <c r="G121" t="s">
        <v>74</v>
      </c>
      <c r="H121" t="s">
        <v>74</v>
      </c>
      <c r="I121" t="s">
        <v>1834</v>
      </c>
      <c r="J121" t="s">
        <v>1835</v>
      </c>
      <c r="K121" t="s">
        <v>74</v>
      </c>
      <c r="L121" t="s">
        <v>74</v>
      </c>
      <c r="M121" t="s">
        <v>77</v>
      </c>
      <c r="N121" t="s">
        <v>78</v>
      </c>
      <c r="O121" t="s">
        <v>74</v>
      </c>
      <c r="P121" t="s">
        <v>74</v>
      </c>
      <c r="Q121" t="s">
        <v>74</v>
      </c>
      <c r="R121" t="s">
        <v>74</v>
      </c>
      <c r="S121" t="s">
        <v>74</v>
      </c>
      <c r="T121" t="s">
        <v>1836</v>
      </c>
      <c r="U121" t="s">
        <v>1837</v>
      </c>
      <c r="V121" t="s">
        <v>1838</v>
      </c>
      <c r="W121" t="s">
        <v>1839</v>
      </c>
      <c r="X121" t="s">
        <v>1840</v>
      </c>
      <c r="Y121" t="s">
        <v>1841</v>
      </c>
      <c r="Z121" t="s">
        <v>74</v>
      </c>
      <c r="AA121" t="s">
        <v>74</v>
      </c>
      <c r="AB121" t="s">
        <v>74</v>
      </c>
      <c r="AC121" t="s">
        <v>74</v>
      </c>
      <c r="AD121" t="s">
        <v>74</v>
      </c>
      <c r="AE121" t="s">
        <v>74</v>
      </c>
      <c r="AF121" t="s">
        <v>74</v>
      </c>
      <c r="AG121">
        <v>22</v>
      </c>
      <c r="AH121">
        <v>10</v>
      </c>
      <c r="AI121">
        <v>13</v>
      </c>
      <c r="AJ121">
        <v>0</v>
      </c>
      <c r="AK121">
        <v>2</v>
      </c>
      <c r="AL121" t="s">
        <v>1842</v>
      </c>
      <c r="AM121" t="s">
        <v>1843</v>
      </c>
      <c r="AN121" t="s">
        <v>1844</v>
      </c>
      <c r="AO121" t="s">
        <v>1845</v>
      </c>
      <c r="AP121" t="s">
        <v>1846</v>
      </c>
      <c r="AQ121" t="s">
        <v>74</v>
      </c>
      <c r="AR121" t="s">
        <v>1847</v>
      </c>
      <c r="AS121" t="s">
        <v>1848</v>
      </c>
      <c r="AT121" t="s">
        <v>1849</v>
      </c>
      <c r="AU121">
        <v>1999</v>
      </c>
      <c r="AV121">
        <v>44</v>
      </c>
      <c r="AW121">
        <v>4</v>
      </c>
      <c r="AX121" t="s">
        <v>74</v>
      </c>
      <c r="AY121" t="s">
        <v>74</v>
      </c>
      <c r="AZ121" t="s">
        <v>74</v>
      </c>
      <c r="BA121" t="s">
        <v>74</v>
      </c>
      <c r="BB121">
        <v>233</v>
      </c>
      <c r="BC121">
        <v>240</v>
      </c>
      <c r="BD121" t="s">
        <v>74</v>
      </c>
      <c r="BE121" t="s">
        <v>74</v>
      </c>
      <c r="BF121" t="s">
        <v>74</v>
      </c>
      <c r="BG121" t="s">
        <v>74</v>
      </c>
      <c r="BH121" t="s">
        <v>74</v>
      </c>
      <c r="BI121">
        <v>8</v>
      </c>
      <c r="BJ121" t="s">
        <v>1850</v>
      </c>
      <c r="BK121" t="s">
        <v>96</v>
      </c>
      <c r="BL121" t="s">
        <v>1850</v>
      </c>
      <c r="BM121" t="s">
        <v>1851</v>
      </c>
      <c r="BN121" t="s">
        <v>74</v>
      </c>
      <c r="BO121" t="s">
        <v>74</v>
      </c>
      <c r="BP121" t="s">
        <v>74</v>
      </c>
      <c r="BQ121" t="s">
        <v>74</v>
      </c>
      <c r="BR121" t="s">
        <v>99</v>
      </c>
      <c r="BS121" t="s">
        <v>1852</v>
      </c>
      <c r="BT121" t="str">
        <f>HYPERLINK("https%3A%2F%2Fwww.webofscience.com%2Fwos%2Fwoscc%2Ffull-record%2FWOS:000084912800006","View Full Record in Web of Science")</f>
        <v>View Full Record in Web of Science</v>
      </c>
    </row>
    <row r="122" spans="1:72" x14ac:dyDescent="0.15">
      <c r="A122" t="s">
        <v>72</v>
      </c>
      <c r="B122" t="s">
        <v>1853</v>
      </c>
      <c r="C122" t="s">
        <v>74</v>
      </c>
      <c r="D122" t="s">
        <v>74</v>
      </c>
      <c r="E122" t="s">
        <v>74</v>
      </c>
      <c r="F122" t="s">
        <v>1853</v>
      </c>
      <c r="G122" t="s">
        <v>74</v>
      </c>
      <c r="H122" t="s">
        <v>74</v>
      </c>
      <c r="I122" t="s">
        <v>1854</v>
      </c>
      <c r="J122" t="s">
        <v>1855</v>
      </c>
      <c r="K122" t="s">
        <v>74</v>
      </c>
      <c r="L122" t="s">
        <v>74</v>
      </c>
      <c r="M122" t="s">
        <v>77</v>
      </c>
      <c r="N122" t="s">
        <v>78</v>
      </c>
      <c r="O122" t="s">
        <v>74</v>
      </c>
      <c r="P122" t="s">
        <v>74</v>
      </c>
      <c r="Q122" t="s">
        <v>74</v>
      </c>
      <c r="R122" t="s">
        <v>74</v>
      </c>
      <c r="S122" t="s">
        <v>74</v>
      </c>
      <c r="T122" t="s">
        <v>1856</v>
      </c>
      <c r="U122" t="s">
        <v>1857</v>
      </c>
      <c r="V122" t="s">
        <v>1858</v>
      </c>
      <c r="W122" t="s">
        <v>1859</v>
      </c>
      <c r="X122" t="s">
        <v>583</v>
      </c>
      <c r="Y122" t="s">
        <v>1860</v>
      </c>
      <c r="Z122" t="s">
        <v>74</v>
      </c>
      <c r="AA122" t="s">
        <v>74</v>
      </c>
      <c r="AB122" t="s">
        <v>74</v>
      </c>
      <c r="AC122" t="s">
        <v>74</v>
      </c>
      <c r="AD122" t="s">
        <v>74</v>
      </c>
      <c r="AE122" t="s">
        <v>74</v>
      </c>
      <c r="AF122" t="s">
        <v>74</v>
      </c>
      <c r="AG122">
        <v>20</v>
      </c>
      <c r="AH122">
        <v>49</v>
      </c>
      <c r="AI122">
        <v>53</v>
      </c>
      <c r="AJ122">
        <v>0</v>
      </c>
      <c r="AK122">
        <v>17</v>
      </c>
      <c r="AL122" t="s">
        <v>1861</v>
      </c>
      <c r="AM122" t="s">
        <v>1290</v>
      </c>
      <c r="AN122" t="s">
        <v>1862</v>
      </c>
      <c r="AO122" t="s">
        <v>1863</v>
      </c>
      <c r="AP122" t="s">
        <v>74</v>
      </c>
      <c r="AQ122" t="s">
        <v>74</v>
      </c>
      <c r="AR122" t="s">
        <v>1864</v>
      </c>
      <c r="AS122" t="s">
        <v>1865</v>
      </c>
      <c r="AT122" t="s">
        <v>1849</v>
      </c>
      <c r="AU122">
        <v>1999</v>
      </c>
      <c r="AV122">
        <v>277</v>
      </c>
      <c r="AW122">
        <v>4</v>
      </c>
      <c r="AX122" t="s">
        <v>74</v>
      </c>
      <c r="AY122" t="s">
        <v>74</v>
      </c>
      <c r="AZ122" t="s">
        <v>74</v>
      </c>
      <c r="BA122" t="s">
        <v>74</v>
      </c>
      <c r="BB122" t="s">
        <v>1866</v>
      </c>
      <c r="BC122" t="s">
        <v>1867</v>
      </c>
      <c r="BD122" t="s">
        <v>74</v>
      </c>
      <c r="BE122" t="s">
        <v>1868</v>
      </c>
      <c r="BF122" t="str">
        <f>HYPERLINK("http://dx.doi.org/10.1152/ajpregu.1999.277.4.R1091","http://dx.doi.org/10.1152/ajpregu.1999.277.4.R1091")</f>
        <v>http://dx.doi.org/10.1152/ajpregu.1999.277.4.R1091</v>
      </c>
      <c r="BG122" t="s">
        <v>74</v>
      </c>
      <c r="BH122" t="s">
        <v>74</v>
      </c>
      <c r="BI122">
        <v>7</v>
      </c>
      <c r="BJ122" t="s">
        <v>1869</v>
      </c>
      <c r="BK122" t="s">
        <v>96</v>
      </c>
      <c r="BL122" t="s">
        <v>1869</v>
      </c>
      <c r="BM122" t="s">
        <v>1870</v>
      </c>
      <c r="BN122" t="s">
        <v>74</v>
      </c>
      <c r="BO122" t="s">
        <v>74</v>
      </c>
      <c r="BP122" t="s">
        <v>74</v>
      </c>
      <c r="BQ122" t="s">
        <v>74</v>
      </c>
      <c r="BR122" t="s">
        <v>99</v>
      </c>
      <c r="BS122" t="s">
        <v>1871</v>
      </c>
      <c r="BT122" t="str">
        <f>HYPERLINK("https%3A%2F%2Fwww.webofscience.com%2Fwos%2Fwoscc%2Ffull-record%2FWOS:000083919700021","View Full Record in Web of Science")</f>
        <v>View Full Record in Web of Science</v>
      </c>
    </row>
    <row r="123" spans="1:72" x14ac:dyDescent="0.15">
      <c r="A123" t="s">
        <v>72</v>
      </c>
      <c r="B123" t="s">
        <v>1872</v>
      </c>
      <c r="C123" t="s">
        <v>74</v>
      </c>
      <c r="D123" t="s">
        <v>74</v>
      </c>
      <c r="E123" t="s">
        <v>74</v>
      </c>
      <c r="F123" t="s">
        <v>1872</v>
      </c>
      <c r="G123" t="s">
        <v>74</v>
      </c>
      <c r="H123" t="s">
        <v>74</v>
      </c>
      <c r="I123" t="s">
        <v>1873</v>
      </c>
      <c r="J123" t="s">
        <v>1874</v>
      </c>
      <c r="K123" t="s">
        <v>74</v>
      </c>
      <c r="L123" t="s">
        <v>74</v>
      </c>
      <c r="M123" t="s">
        <v>77</v>
      </c>
      <c r="N123" t="s">
        <v>78</v>
      </c>
      <c r="O123" t="s">
        <v>74</v>
      </c>
      <c r="P123" t="s">
        <v>74</v>
      </c>
      <c r="Q123" t="s">
        <v>74</v>
      </c>
      <c r="R123" t="s">
        <v>74</v>
      </c>
      <c r="S123" t="s">
        <v>74</v>
      </c>
      <c r="T123" t="s">
        <v>1875</v>
      </c>
      <c r="U123" t="s">
        <v>1876</v>
      </c>
      <c r="V123" t="s">
        <v>1877</v>
      </c>
      <c r="W123" t="s">
        <v>1878</v>
      </c>
      <c r="X123" t="s">
        <v>1879</v>
      </c>
      <c r="Y123" t="s">
        <v>1880</v>
      </c>
      <c r="Z123" t="s">
        <v>1881</v>
      </c>
      <c r="AA123" t="s">
        <v>1882</v>
      </c>
      <c r="AB123" t="s">
        <v>1883</v>
      </c>
      <c r="AC123" t="s">
        <v>74</v>
      </c>
      <c r="AD123" t="s">
        <v>74</v>
      </c>
      <c r="AE123" t="s">
        <v>74</v>
      </c>
      <c r="AF123" t="s">
        <v>74</v>
      </c>
      <c r="AG123">
        <v>40</v>
      </c>
      <c r="AH123">
        <v>31</v>
      </c>
      <c r="AI123">
        <v>32</v>
      </c>
      <c r="AJ123">
        <v>0</v>
      </c>
      <c r="AK123">
        <v>1</v>
      </c>
      <c r="AL123" t="s">
        <v>1884</v>
      </c>
      <c r="AM123" t="s">
        <v>554</v>
      </c>
      <c r="AN123" t="s">
        <v>1885</v>
      </c>
      <c r="AO123" t="s">
        <v>1886</v>
      </c>
      <c r="AP123" t="s">
        <v>74</v>
      </c>
      <c r="AQ123" t="s">
        <v>74</v>
      </c>
      <c r="AR123" t="s">
        <v>1887</v>
      </c>
      <c r="AS123" t="s">
        <v>1888</v>
      </c>
      <c r="AT123" t="s">
        <v>1889</v>
      </c>
      <c r="AU123">
        <v>1999</v>
      </c>
      <c r="AV123">
        <v>256</v>
      </c>
      <c r="AW123">
        <v>2</v>
      </c>
      <c r="AX123" t="s">
        <v>74</v>
      </c>
      <c r="AY123" t="s">
        <v>74</v>
      </c>
      <c r="AZ123" t="s">
        <v>74</v>
      </c>
      <c r="BA123" t="s">
        <v>74</v>
      </c>
      <c r="BB123">
        <v>116</v>
      </c>
      <c r="BC123">
        <v>126</v>
      </c>
      <c r="BD123" t="s">
        <v>74</v>
      </c>
      <c r="BE123" t="s">
        <v>1890</v>
      </c>
      <c r="BF123" t="str">
        <f>HYPERLINK("http://dx.doi.org/10.1002/(SICI)1097-0185(19991001)256:2&lt;116::AID-AR2&gt;3.0.CO;2-Q","http://dx.doi.org/10.1002/(SICI)1097-0185(19991001)256:2&lt;116::AID-AR2&gt;3.0.CO;2-Q")</f>
        <v>http://dx.doi.org/10.1002/(SICI)1097-0185(19991001)256:2&lt;116::AID-AR2&gt;3.0.CO;2-Q</v>
      </c>
      <c r="BG123" t="s">
        <v>74</v>
      </c>
      <c r="BH123" t="s">
        <v>74</v>
      </c>
      <c r="BI123">
        <v>11</v>
      </c>
      <c r="BJ123" t="s">
        <v>1891</v>
      </c>
      <c r="BK123" t="s">
        <v>96</v>
      </c>
      <c r="BL123" t="s">
        <v>1891</v>
      </c>
      <c r="BM123" t="s">
        <v>1892</v>
      </c>
      <c r="BN123">
        <v>10486509</v>
      </c>
      <c r="BO123" t="s">
        <v>74</v>
      </c>
      <c r="BP123" t="s">
        <v>74</v>
      </c>
      <c r="BQ123" t="s">
        <v>74</v>
      </c>
      <c r="BR123" t="s">
        <v>99</v>
      </c>
      <c r="BS123" t="s">
        <v>1893</v>
      </c>
      <c r="BT123" t="str">
        <f>HYPERLINK("https%3A%2F%2Fwww.webofscience.com%2Fwos%2Fwoscc%2Ffull-record%2FWOS:000082674700002","View Full Record in Web of Science")</f>
        <v>View Full Record in Web of Science</v>
      </c>
    </row>
    <row r="124" spans="1:72" x14ac:dyDescent="0.15">
      <c r="A124" t="s">
        <v>72</v>
      </c>
      <c r="B124" t="s">
        <v>1894</v>
      </c>
      <c r="C124" t="s">
        <v>74</v>
      </c>
      <c r="D124" t="s">
        <v>74</v>
      </c>
      <c r="E124" t="s">
        <v>74</v>
      </c>
      <c r="F124" t="s">
        <v>1894</v>
      </c>
      <c r="G124" t="s">
        <v>74</v>
      </c>
      <c r="H124" t="s">
        <v>74</v>
      </c>
      <c r="I124" t="s">
        <v>1895</v>
      </c>
      <c r="J124" t="s">
        <v>544</v>
      </c>
      <c r="K124" t="s">
        <v>74</v>
      </c>
      <c r="L124" t="s">
        <v>74</v>
      </c>
      <c r="M124" t="s">
        <v>77</v>
      </c>
      <c r="N124" t="s">
        <v>78</v>
      </c>
      <c r="O124" t="s">
        <v>74</v>
      </c>
      <c r="P124" t="s">
        <v>74</v>
      </c>
      <c r="Q124" t="s">
        <v>74</v>
      </c>
      <c r="R124" t="s">
        <v>74</v>
      </c>
      <c r="S124" t="s">
        <v>74</v>
      </c>
      <c r="T124" t="s">
        <v>1896</v>
      </c>
      <c r="U124" t="s">
        <v>1897</v>
      </c>
      <c r="V124" t="s">
        <v>1898</v>
      </c>
      <c r="W124" t="s">
        <v>1899</v>
      </c>
      <c r="X124" t="s">
        <v>1900</v>
      </c>
      <c r="Y124" t="s">
        <v>1901</v>
      </c>
      <c r="Z124" t="s">
        <v>74</v>
      </c>
      <c r="AA124" t="s">
        <v>74</v>
      </c>
      <c r="AB124" t="s">
        <v>1902</v>
      </c>
      <c r="AC124" t="s">
        <v>74</v>
      </c>
      <c r="AD124" t="s">
        <v>74</v>
      </c>
      <c r="AE124" t="s">
        <v>74</v>
      </c>
      <c r="AF124" t="s">
        <v>74</v>
      </c>
      <c r="AG124">
        <v>19</v>
      </c>
      <c r="AH124">
        <v>14</v>
      </c>
      <c r="AI124">
        <v>14</v>
      </c>
      <c r="AJ124">
        <v>0</v>
      </c>
      <c r="AK124">
        <v>1</v>
      </c>
      <c r="AL124" t="s">
        <v>553</v>
      </c>
      <c r="AM124" t="s">
        <v>554</v>
      </c>
      <c r="AN124" t="s">
        <v>555</v>
      </c>
      <c r="AO124" t="s">
        <v>556</v>
      </c>
      <c r="AP124" t="s">
        <v>74</v>
      </c>
      <c r="AQ124" t="s">
        <v>74</v>
      </c>
      <c r="AR124" t="s">
        <v>557</v>
      </c>
      <c r="AS124" t="s">
        <v>558</v>
      </c>
      <c r="AT124" t="s">
        <v>1849</v>
      </c>
      <c r="AU124">
        <v>1999</v>
      </c>
      <c r="AV124">
        <v>17</v>
      </c>
      <c r="AW124">
        <v>10</v>
      </c>
      <c r="AX124" t="s">
        <v>74</v>
      </c>
      <c r="AY124" t="s">
        <v>74</v>
      </c>
      <c r="AZ124" t="s">
        <v>74</v>
      </c>
      <c r="BA124" t="s">
        <v>74</v>
      </c>
      <c r="BB124">
        <v>1245</v>
      </c>
      <c r="BC124">
        <v>1250</v>
      </c>
      <c r="BD124" t="s">
        <v>74</v>
      </c>
      <c r="BE124" t="s">
        <v>1903</v>
      </c>
      <c r="BF124" t="str">
        <f>HYPERLINK("http://dx.doi.org/10.1007/s00585-999-1245-4","http://dx.doi.org/10.1007/s00585-999-1245-4")</f>
        <v>http://dx.doi.org/10.1007/s00585-999-1245-4</v>
      </c>
      <c r="BG124" t="s">
        <v>74</v>
      </c>
      <c r="BH124" t="s">
        <v>74</v>
      </c>
      <c r="BI124">
        <v>6</v>
      </c>
      <c r="BJ124" t="s">
        <v>560</v>
      </c>
      <c r="BK124" t="s">
        <v>96</v>
      </c>
      <c r="BL124" t="s">
        <v>561</v>
      </c>
      <c r="BM124" t="s">
        <v>1904</v>
      </c>
      <c r="BN124" t="s">
        <v>74</v>
      </c>
      <c r="BO124" t="s">
        <v>575</v>
      </c>
      <c r="BP124" t="s">
        <v>74</v>
      </c>
      <c r="BQ124" t="s">
        <v>74</v>
      </c>
      <c r="BR124" t="s">
        <v>99</v>
      </c>
      <c r="BS124" t="s">
        <v>1905</v>
      </c>
      <c r="BT124" t="str">
        <f>HYPERLINK("https%3A%2F%2Fwww.webofscience.com%2Fwos%2Fwoscc%2Ffull-record%2FWOS:000083311500001","View Full Record in Web of Science")</f>
        <v>View Full Record in Web of Science</v>
      </c>
    </row>
    <row r="125" spans="1:72" x14ac:dyDescent="0.15">
      <c r="A125" t="s">
        <v>72</v>
      </c>
      <c r="B125" t="s">
        <v>1906</v>
      </c>
      <c r="C125" t="s">
        <v>74</v>
      </c>
      <c r="D125" t="s">
        <v>74</v>
      </c>
      <c r="E125" t="s">
        <v>74</v>
      </c>
      <c r="F125" t="s">
        <v>1906</v>
      </c>
      <c r="G125" t="s">
        <v>74</v>
      </c>
      <c r="H125" t="s">
        <v>74</v>
      </c>
      <c r="I125" t="s">
        <v>1907</v>
      </c>
      <c r="J125" t="s">
        <v>1908</v>
      </c>
      <c r="K125" t="s">
        <v>74</v>
      </c>
      <c r="L125" t="s">
        <v>74</v>
      </c>
      <c r="M125" t="s">
        <v>77</v>
      </c>
      <c r="N125" t="s">
        <v>78</v>
      </c>
      <c r="O125" t="s">
        <v>74</v>
      </c>
      <c r="P125" t="s">
        <v>74</v>
      </c>
      <c r="Q125" t="s">
        <v>74</v>
      </c>
      <c r="R125" t="s">
        <v>74</v>
      </c>
      <c r="S125" t="s">
        <v>74</v>
      </c>
      <c r="T125" t="s">
        <v>1909</v>
      </c>
      <c r="U125" t="s">
        <v>1910</v>
      </c>
      <c r="V125" t="s">
        <v>1911</v>
      </c>
      <c r="W125" t="s">
        <v>877</v>
      </c>
      <c r="X125" t="s">
        <v>878</v>
      </c>
      <c r="Y125" t="s">
        <v>1912</v>
      </c>
      <c r="Z125" t="s">
        <v>1913</v>
      </c>
      <c r="AA125" t="s">
        <v>880</v>
      </c>
      <c r="AB125" t="s">
        <v>74</v>
      </c>
      <c r="AC125" t="s">
        <v>74</v>
      </c>
      <c r="AD125" t="s">
        <v>74</v>
      </c>
      <c r="AE125" t="s">
        <v>74</v>
      </c>
      <c r="AF125" t="s">
        <v>74</v>
      </c>
      <c r="AG125">
        <v>81</v>
      </c>
      <c r="AH125">
        <v>178</v>
      </c>
      <c r="AI125">
        <v>216</v>
      </c>
      <c r="AJ125">
        <v>2</v>
      </c>
      <c r="AK125">
        <v>81</v>
      </c>
      <c r="AL125" t="s">
        <v>1263</v>
      </c>
      <c r="AM125" t="s">
        <v>211</v>
      </c>
      <c r="AN125" t="s">
        <v>1264</v>
      </c>
      <c r="AO125" t="s">
        <v>1914</v>
      </c>
      <c r="AP125" t="s">
        <v>1915</v>
      </c>
      <c r="AQ125" t="s">
        <v>74</v>
      </c>
      <c r="AR125" t="s">
        <v>1916</v>
      </c>
      <c r="AS125" t="s">
        <v>1917</v>
      </c>
      <c r="AT125" t="s">
        <v>1849</v>
      </c>
      <c r="AU125">
        <v>1999</v>
      </c>
      <c r="AV125">
        <v>13</v>
      </c>
      <c r="AW125">
        <v>2</v>
      </c>
      <c r="AX125" t="s">
        <v>74</v>
      </c>
      <c r="AY125" t="s">
        <v>74</v>
      </c>
      <c r="AZ125" t="s">
        <v>74</v>
      </c>
      <c r="BA125" t="s">
        <v>74</v>
      </c>
      <c r="BB125">
        <v>137</v>
      </c>
      <c r="BC125">
        <v>150</v>
      </c>
      <c r="BD125" t="s">
        <v>74</v>
      </c>
      <c r="BE125" t="s">
        <v>1918</v>
      </c>
      <c r="BF125" t="str">
        <f>HYPERLINK("http://dx.doi.org/10.1016/S0929-1393(99)00029-3","http://dx.doi.org/10.1016/S0929-1393(99)00029-3")</f>
        <v>http://dx.doi.org/10.1016/S0929-1393(99)00029-3</v>
      </c>
      <c r="BG125" t="s">
        <v>74</v>
      </c>
      <c r="BH125" t="s">
        <v>74</v>
      </c>
      <c r="BI125">
        <v>14</v>
      </c>
      <c r="BJ125" t="s">
        <v>1919</v>
      </c>
      <c r="BK125" t="s">
        <v>96</v>
      </c>
      <c r="BL125" t="s">
        <v>1920</v>
      </c>
      <c r="BM125" t="s">
        <v>1921</v>
      </c>
      <c r="BN125" t="s">
        <v>74</v>
      </c>
      <c r="BO125" t="s">
        <v>74</v>
      </c>
      <c r="BP125" t="s">
        <v>74</v>
      </c>
      <c r="BQ125" t="s">
        <v>74</v>
      </c>
      <c r="BR125" t="s">
        <v>99</v>
      </c>
      <c r="BS125" t="s">
        <v>1922</v>
      </c>
      <c r="BT125" t="str">
        <f>HYPERLINK("https%3A%2F%2Fwww.webofscience.com%2Fwos%2Fwoscc%2Ffull-record%2FWOS:000083518800005","View Full Record in Web of Science")</f>
        <v>View Full Record in Web of Science</v>
      </c>
    </row>
    <row r="126" spans="1:72" x14ac:dyDescent="0.15">
      <c r="A126" t="s">
        <v>72</v>
      </c>
      <c r="B126" t="s">
        <v>1923</v>
      </c>
      <c r="C126" t="s">
        <v>74</v>
      </c>
      <c r="D126" t="s">
        <v>74</v>
      </c>
      <c r="E126" t="s">
        <v>74</v>
      </c>
      <c r="F126" t="s">
        <v>1923</v>
      </c>
      <c r="G126" t="s">
        <v>74</v>
      </c>
      <c r="H126" t="s">
        <v>74</v>
      </c>
      <c r="I126" t="s">
        <v>1924</v>
      </c>
      <c r="J126" t="s">
        <v>1925</v>
      </c>
      <c r="K126" t="s">
        <v>74</v>
      </c>
      <c r="L126" t="s">
        <v>74</v>
      </c>
      <c r="M126" t="s">
        <v>77</v>
      </c>
      <c r="N126" t="s">
        <v>78</v>
      </c>
      <c r="O126" t="s">
        <v>74</v>
      </c>
      <c r="P126" t="s">
        <v>74</v>
      </c>
      <c r="Q126" t="s">
        <v>74</v>
      </c>
      <c r="R126" t="s">
        <v>74</v>
      </c>
      <c r="S126" t="s">
        <v>74</v>
      </c>
      <c r="T126" t="s">
        <v>74</v>
      </c>
      <c r="U126" t="s">
        <v>1926</v>
      </c>
      <c r="V126" t="s">
        <v>1927</v>
      </c>
      <c r="W126" t="s">
        <v>1928</v>
      </c>
      <c r="X126" t="s">
        <v>131</v>
      </c>
      <c r="Y126" t="s">
        <v>1929</v>
      </c>
      <c r="Z126" t="s">
        <v>74</v>
      </c>
      <c r="AA126" t="s">
        <v>74</v>
      </c>
      <c r="AB126" t="s">
        <v>74</v>
      </c>
      <c r="AC126" t="s">
        <v>74</v>
      </c>
      <c r="AD126" t="s">
        <v>74</v>
      </c>
      <c r="AE126" t="s">
        <v>74</v>
      </c>
      <c r="AF126" t="s">
        <v>74</v>
      </c>
      <c r="AG126">
        <v>75</v>
      </c>
      <c r="AH126">
        <v>18</v>
      </c>
      <c r="AI126">
        <v>20</v>
      </c>
      <c r="AJ126">
        <v>0</v>
      </c>
      <c r="AK126">
        <v>3</v>
      </c>
      <c r="AL126" t="s">
        <v>1930</v>
      </c>
      <c r="AM126" t="s">
        <v>1931</v>
      </c>
      <c r="AN126" t="s">
        <v>1932</v>
      </c>
      <c r="AO126" t="s">
        <v>1933</v>
      </c>
      <c r="AP126" t="s">
        <v>74</v>
      </c>
      <c r="AQ126" t="s">
        <v>74</v>
      </c>
      <c r="AR126" t="s">
        <v>1934</v>
      </c>
      <c r="AS126" t="s">
        <v>1935</v>
      </c>
      <c r="AT126" t="s">
        <v>1849</v>
      </c>
      <c r="AU126">
        <v>1999</v>
      </c>
      <c r="AV126">
        <v>146</v>
      </c>
      <c r="AW126">
        <v>3</v>
      </c>
      <c r="AX126" t="s">
        <v>74</v>
      </c>
      <c r="AY126" t="s">
        <v>74</v>
      </c>
      <c r="AZ126" t="s">
        <v>74</v>
      </c>
      <c r="BA126" t="s">
        <v>74</v>
      </c>
      <c r="BB126">
        <v>311</v>
      </c>
      <c r="BC126">
        <v>339</v>
      </c>
      <c r="BD126" t="s">
        <v>74</v>
      </c>
      <c r="BE126" t="s">
        <v>74</v>
      </c>
      <c r="BF126" t="s">
        <v>74</v>
      </c>
      <c r="BG126" t="s">
        <v>74</v>
      </c>
      <c r="BH126" t="s">
        <v>74</v>
      </c>
      <c r="BI126">
        <v>29</v>
      </c>
      <c r="BJ126" t="s">
        <v>1936</v>
      </c>
      <c r="BK126" t="s">
        <v>96</v>
      </c>
      <c r="BL126" t="s">
        <v>1229</v>
      </c>
      <c r="BM126" t="s">
        <v>1937</v>
      </c>
      <c r="BN126" t="s">
        <v>74</v>
      </c>
      <c r="BO126" t="s">
        <v>74</v>
      </c>
      <c r="BP126" t="s">
        <v>74</v>
      </c>
      <c r="BQ126" t="s">
        <v>74</v>
      </c>
      <c r="BR126" t="s">
        <v>99</v>
      </c>
      <c r="BS126" t="s">
        <v>1938</v>
      </c>
      <c r="BT126" t="str">
        <f>HYPERLINK("https%3A%2F%2Fwww.webofscience.com%2Fwos%2Fwoscc%2Ffull-record%2FWOS:000083610200003","View Full Record in Web of Science")</f>
        <v>View Full Record in Web of Science</v>
      </c>
    </row>
    <row r="127" spans="1:72" x14ac:dyDescent="0.15">
      <c r="A127" t="s">
        <v>72</v>
      </c>
      <c r="B127" t="s">
        <v>1939</v>
      </c>
      <c r="C127" t="s">
        <v>74</v>
      </c>
      <c r="D127" t="s">
        <v>74</v>
      </c>
      <c r="E127" t="s">
        <v>74</v>
      </c>
      <c r="F127" t="s">
        <v>1939</v>
      </c>
      <c r="G127" t="s">
        <v>74</v>
      </c>
      <c r="H127" t="s">
        <v>74</v>
      </c>
      <c r="I127" t="s">
        <v>1940</v>
      </c>
      <c r="J127" t="s">
        <v>1941</v>
      </c>
      <c r="K127" t="s">
        <v>74</v>
      </c>
      <c r="L127" t="s">
        <v>74</v>
      </c>
      <c r="M127" t="s">
        <v>77</v>
      </c>
      <c r="N127" t="s">
        <v>78</v>
      </c>
      <c r="O127" t="s">
        <v>74</v>
      </c>
      <c r="P127" t="s">
        <v>74</v>
      </c>
      <c r="Q127" t="s">
        <v>74</v>
      </c>
      <c r="R127" t="s">
        <v>74</v>
      </c>
      <c r="S127" t="s">
        <v>74</v>
      </c>
      <c r="T127" t="s">
        <v>74</v>
      </c>
      <c r="U127" t="s">
        <v>74</v>
      </c>
      <c r="V127" t="s">
        <v>1942</v>
      </c>
      <c r="W127" t="s">
        <v>1943</v>
      </c>
      <c r="X127" t="s">
        <v>1944</v>
      </c>
      <c r="Y127" t="s">
        <v>1945</v>
      </c>
      <c r="Z127" t="s">
        <v>74</v>
      </c>
      <c r="AA127" t="s">
        <v>1946</v>
      </c>
      <c r="AB127" t="s">
        <v>1947</v>
      </c>
      <c r="AC127" t="s">
        <v>74</v>
      </c>
      <c r="AD127" t="s">
        <v>74</v>
      </c>
      <c r="AE127" t="s">
        <v>74</v>
      </c>
      <c r="AF127" t="s">
        <v>74</v>
      </c>
      <c r="AG127">
        <v>0</v>
      </c>
      <c r="AH127">
        <v>17</v>
      </c>
      <c r="AI127">
        <v>18</v>
      </c>
      <c r="AJ127">
        <v>0</v>
      </c>
      <c r="AK127">
        <v>4</v>
      </c>
      <c r="AL127" t="s">
        <v>86</v>
      </c>
      <c r="AM127" t="s">
        <v>87</v>
      </c>
      <c r="AN127" t="s">
        <v>88</v>
      </c>
      <c r="AO127" t="s">
        <v>1948</v>
      </c>
      <c r="AP127" t="s">
        <v>74</v>
      </c>
      <c r="AQ127" t="s">
        <v>74</v>
      </c>
      <c r="AR127" t="s">
        <v>1949</v>
      </c>
      <c r="AS127" t="s">
        <v>1950</v>
      </c>
      <c r="AT127" t="s">
        <v>1849</v>
      </c>
      <c r="AU127">
        <v>1999</v>
      </c>
      <c r="AV127">
        <v>80</v>
      </c>
      <c r="AW127">
        <v>10</v>
      </c>
      <c r="AX127" t="s">
        <v>74</v>
      </c>
      <c r="AY127" t="s">
        <v>74</v>
      </c>
      <c r="AZ127" t="s">
        <v>74</v>
      </c>
      <c r="BA127" t="s">
        <v>74</v>
      </c>
      <c r="BB127">
        <v>2019</v>
      </c>
      <c r="BC127">
        <v>2026</v>
      </c>
      <c r="BD127" t="s">
        <v>74</v>
      </c>
      <c r="BE127" t="s">
        <v>1951</v>
      </c>
      <c r="BF127" t="str">
        <f>HYPERLINK("http://dx.doi.org/10.1175/1520-0477(1999)080&lt;2019:ROFTFS&gt;2.0.CO;2","http://dx.doi.org/10.1175/1520-0477(1999)080&lt;2019:ROFTFS&gt;2.0.CO;2")</f>
        <v>http://dx.doi.org/10.1175/1520-0477(1999)080&lt;2019:ROFTFS&gt;2.0.CO;2</v>
      </c>
      <c r="BG127" t="s">
        <v>74</v>
      </c>
      <c r="BH127" t="s">
        <v>74</v>
      </c>
      <c r="BI127">
        <v>8</v>
      </c>
      <c r="BJ127" t="s">
        <v>95</v>
      </c>
      <c r="BK127" t="s">
        <v>96</v>
      </c>
      <c r="BL127" t="s">
        <v>95</v>
      </c>
      <c r="BM127" t="s">
        <v>1952</v>
      </c>
      <c r="BN127" t="s">
        <v>74</v>
      </c>
      <c r="BO127" t="s">
        <v>250</v>
      </c>
      <c r="BP127" t="s">
        <v>74</v>
      </c>
      <c r="BQ127" t="s">
        <v>74</v>
      </c>
      <c r="BR127" t="s">
        <v>99</v>
      </c>
      <c r="BS127" t="s">
        <v>1953</v>
      </c>
      <c r="BT127" t="str">
        <f>HYPERLINK("https%3A%2F%2Fwww.webofscience.com%2Fwos%2Fwoscc%2Ffull-record%2FWOS:000082787800002","View Full Record in Web of Science")</f>
        <v>View Full Record in Web of Science</v>
      </c>
    </row>
    <row r="128" spans="1:72" x14ac:dyDescent="0.15">
      <c r="A128" t="s">
        <v>72</v>
      </c>
      <c r="B128" t="s">
        <v>1954</v>
      </c>
      <c r="C128" t="s">
        <v>74</v>
      </c>
      <c r="D128" t="s">
        <v>74</v>
      </c>
      <c r="E128" t="s">
        <v>74</v>
      </c>
      <c r="F128" t="s">
        <v>1954</v>
      </c>
      <c r="G128" t="s">
        <v>74</v>
      </c>
      <c r="H128" t="s">
        <v>74</v>
      </c>
      <c r="I128" t="s">
        <v>1955</v>
      </c>
      <c r="J128" t="s">
        <v>733</v>
      </c>
      <c r="K128" t="s">
        <v>74</v>
      </c>
      <c r="L128" t="s">
        <v>74</v>
      </c>
      <c r="M128" t="s">
        <v>77</v>
      </c>
      <c r="N128" t="s">
        <v>78</v>
      </c>
      <c r="O128" t="s">
        <v>74</v>
      </c>
      <c r="P128" t="s">
        <v>74</v>
      </c>
      <c r="Q128" t="s">
        <v>74</v>
      </c>
      <c r="R128" t="s">
        <v>74</v>
      </c>
      <c r="S128" t="s">
        <v>74</v>
      </c>
      <c r="T128" t="s">
        <v>74</v>
      </c>
      <c r="U128" t="s">
        <v>1956</v>
      </c>
      <c r="V128" t="s">
        <v>1957</v>
      </c>
      <c r="W128" t="s">
        <v>1958</v>
      </c>
      <c r="X128" t="s">
        <v>1959</v>
      </c>
      <c r="Y128" t="s">
        <v>1960</v>
      </c>
      <c r="Z128" t="s">
        <v>74</v>
      </c>
      <c r="AA128" t="s">
        <v>1961</v>
      </c>
      <c r="AB128" t="s">
        <v>1962</v>
      </c>
      <c r="AC128" t="s">
        <v>74</v>
      </c>
      <c r="AD128" t="s">
        <v>74</v>
      </c>
      <c r="AE128" t="s">
        <v>74</v>
      </c>
      <c r="AF128" t="s">
        <v>74</v>
      </c>
      <c r="AG128">
        <v>38</v>
      </c>
      <c r="AH128">
        <v>27</v>
      </c>
      <c r="AI128">
        <v>29</v>
      </c>
      <c r="AJ128">
        <v>2</v>
      </c>
      <c r="AK128">
        <v>11</v>
      </c>
      <c r="AL128" t="s">
        <v>721</v>
      </c>
      <c r="AM128" t="s">
        <v>722</v>
      </c>
      <c r="AN128" t="s">
        <v>723</v>
      </c>
      <c r="AO128" t="s">
        <v>741</v>
      </c>
      <c r="AP128" t="s">
        <v>74</v>
      </c>
      <c r="AQ128" t="s">
        <v>74</v>
      </c>
      <c r="AR128" t="s">
        <v>742</v>
      </c>
      <c r="AS128" t="s">
        <v>743</v>
      </c>
      <c r="AT128" t="s">
        <v>1849</v>
      </c>
      <c r="AU128">
        <v>1999</v>
      </c>
      <c r="AV128">
        <v>77</v>
      </c>
      <c r="AW128">
        <v>10</v>
      </c>
      <c r="AX128" t="s">
        <v>74</v>
      </c>
      <c r="AY128" t="s">
        <v>74</v>
      </c>
      <c r="AZ128" t="s">
        <v>74</v>
      </c>
      <c r="BA128" t="s">
        <v>74</v>
      </c>
      <c r="BB128">
        <v>1579</v>
      </c>
      <c r="BC128">
        <v>1586</v>
      </c>
      <c r="BD128" t="s">
        <v>74</v>
      </c>
      <c r="BE128" t="s">
        <v>1963</v>
      </c>
      <c r="BF128" t="str">
        <f>HYPERLINK("http://dx.doi.org/10.1139/cjz-77-10-1579","http://dx.doi.org/10.1139/cjz-77-10-1579")</f>
        <v>http://dx.doi.org/10.1139/cjz-77-10-1579</v>
      </c>
      <c r="BG128" t="s">
        <v>74</v>
      </c>
      <c r="BH128" t="s">
        <v>74</v>
      </c>
      <c r="BI128">
        <v>8</v>
      </c>
      <c r="BJ128" t="s">
        <v>142</v>
      </c>
      <c r="BK128" t="s">
        <v>96</v>
      </c>
      <c r="BL128" t="s">
        <v>142</v>
      </c>
      <c r="BM128" t="s">
        <v>1964</v>
      </c>
      <c r="BN128" t="s">
        <v>74</v>
      </c>
      <c r="BO128" t="s">
        <v>74</v>
      </c>
      <c r="BP128" t="s">
        <v>74</v>
      </c>
      <c r="BQ128" t="s">
        <v>74</v>
      </c>
      <c r="BR128" t="s">
        <v>99</v>
      </c>
      <c r="BS128" t="s">
        <v>1965</v>
      </c>
      <c r="BT128" t="str">
        <f>HYPERLINK("https%3A%2F%2Fwww.webofscience.com%2Fwos%2Fwoscc%2Ffull-record%2FWOS:000084266500010","View Full Record in Web of Science")</f>
        <v>View Full Record in Web of Science</v>
      </c>
    </row>
    <row r="129" spans="1:72" x14ac:dyDescent="0.15">
      <c r="A129" t="s">
        <v>72</v>
      </c>
      <c r="B129" t="s">
        <v>1966</v>
      </c>
      <c r="C129" t="s">
        <v>74</v>
      </c>
      <c r="D129" t="s">
        <v>74</v>
      </c>
      <c r="E129" t="s">
        <v>74</v>
      </c>
      <c r="F129" t="s">
        <v>1966</v>
      </c>
      <c r="G129" t="s">
        <v>74</v>
      </c>
      <c r="H129" t="s">
        <v>74</v>
      </c>
      <c r="I129" t="s">
        <v>1967</v>
      </c>
      <c r="J129" t="s">
        <v>1968</v>
      </c>
      <c r="K129" t="s">
        <v>74</v>
      </c>
      <c r="L129" t="s">
        <v>74</v>
      </c>
      <c r="M129" t="s">
        <v>77</v>
      </c>
      <c r="N129" t="s">
        <v>78</v>
      </c>
      <c r="O129" t="s">
        <v>74</v>
      </c>
      <c r="P129" t="s">
        <v>74</v>
      </c>
      <c r="Q129" t="s">
        <v>74</v>
      </c>
      <c r="R129" t="s">
        <v>74</v>
      </c>
      <c r="S129" t="s">
        <v>74</v>
      </c>
      <c r="T129" t="s">
        <v>1969</v>
      </c>
      <c r="U129" t="s">
        <v>1970</v>
      </c>
      <c r="V129" t="s">
        <v>1971</v>
      </c>
      <c r="W129" t="s">
        <v>1972</v>
      </c>
      <c r="X129" t="s">
        <v>1973</v>
      </c>
      <c r="Y129" t="s">
        <v>1974</v>
      </c>
      <c r="Z129" t="s">
        <v>1975</v>
      </c>
      <c r="AA129" t="s">
        <v>1976</v>
      </c>
      <c r="AB129" t="s">
        <v>1977</v>
      </c>
      <c r="AC129" t="s">
        <v>74</v>
      </c>
      <c r="AD129" t="s">
        <v>74</v>
      </c>
      <c r="AE129" t="s">
        <v>74</v>
      </c>
      <c r="AF129" t="s">
        <v>74</v>
      </c>
      <c r="AG129">
        <v>53</v>
      </c>
      <c r="AH129">
        <v>74</v>
      </c>
      <c r="AI129">
        <v>81</v>
      </c>
      <c r="AJ129">
        <v>0</v>
      </c>
      <c r="AK129">
        <v>19</v>
      </c>
      <c r="AL129" t="s">
        <v>1978</v>
      </c>
      <c r="AM129" t="s">
        <v>554</v>
      </c>
      <c r="AN129" t="s">
        <v>1979</v>
      </c>
      <c r="AO129" t="s">
        <v>1980</v>
      </c>
      <c r="AP129" t="s">
        <v>1981</v>
      </c>
      <c r="AQ129" t="s">
        <v>74</v>
      </c>
      <c r="AR129" t="s">
        <v>1982</v>
      </c>
      <c r="AS129" t="s">
        <v>1983</v>
      </c>
      <c r="AT129" t="s">
        <v>1849</v>
      </c>
      <c r="AU129">
        <v>1999</v>
      </c>
      <c r="AV129">
        <v>124</v>
      </c>
      <c r="AW129">
        <v>2</v>
      </c>
      <c r="AX129" t="s">
        <v>74</v>
      </c>
      <c r="AY129" t="s">
        <v>74</v>
      </c>
      <c r="AZ129" t="s">
        <v>74</v>
      </c>
      <c r="BA129" t="s">
        <v>74</v>
      </c>
      <c r="BB129">
        <v>179</v>
      </c>
      <c r="BC129">
        <v>189</v>
      </c>
      <c r="BD129" t="s">
        <v>74</v>
      </c>
      <c r="BE129" t="s">
        <v>1984</v>
      </c>
      <c r="BF129" t="str">
        <f>HYPERLINK("http://dx.doi.org/10.1016/S1095-6433(99)00105-1","http://dx.doi.org/10.1016/S1095-6433(99)00105-1")</f>
        <v>http://dx.doi.org/10.1016/S1095-6433(99)00105-1</v>
      </c>
      <c r="BG129" t="s">
        <v>74</v>
      </c>
      <c r="BH129" t="s">
        <v>74</v>
      </c>
      <c r="BI129">
        <v>11</v>
      </c>
      <c r="BJ129" t="s">
        <v>1985</v>
      </c>
      <c r="BK129" t="s">
        <v>96</v>
      </c>
      <c r="BL129" t="s">
        <v>1985</v>
      </c>
      <c r="BM129" t="s">
        <v>1986</v>
      </c>
      <c r="BN129" t="s">
        <v>74</v>
      </c>
      <c r="BO129" t="s">
        <v>518</v>
      </c>
      <c r="BP129" t="s">
        <v>74</v>
      </c>
      <c r="BQ129" t="s">
        <v>74</v>
      </c>
      <c r="BR129" t="s">
        <v>99</v>
      </c>
      <c r="BS129" t="s">
        <v>1987</v>
      </c>
      <c r="BT129" t="str">
        <f>HYPERLINK("https%3A%2F%2Fwww.webofscience.com%2Fwos%2Fwoscc%2Ffull-record%2FWOS:000083815100010","View Full Record in Web of Science")</f>
        <v>View Full Record in Web of Science</v>
      </c>
    </row>
    <row r="130" spans="1:72" x14ac:dyDescent="0.15">
      <c r="A130" t="s">
        <v>72</v>
      </c>
      <c r="B130" t="s">
        <v>1988</v>
      </c>
      <c r="C130" t="s">
        <v>74</v>
      </c>
      <c r="D130" t="s">
        <v>74</v>
      </c>
      <c r="E130" t="s">
        <v>74</v>
      </c>
      <c r="F130" t="s">
        <v>1988</v>
      </c>
      <c r="G130" t="s">
        <v>74</v>
      </c>
      <c r="H130" t="s">
        <v>74</v>
      </c>
      <c r="I130" t="s">
        <v>1989</v>
      </c>
      <c r="J130" t="s">
        <v>793</v>
      </c>
      <c r="K130" t="s">
        <v>74</v>
      </c>
      <c r="L130" t="s">
        <v>74</v>
      </c>
      <c r="M130" t="s">
        <v>77</v>
      </c>
      <c r="N130" t="s">
        <v>78</v>
      </c>
      <c r="O130" t="s">
        <v>74</v>
      </c>
      <c r="P130" t="s">
        <v>74</v>
      </c>
      <c r="Q130" t="s">
        <v>74</v>
      </c>
      <c r="R130" t="s">
        <v>74</v>
      </c>
      <c r="S130" t="s">
        <v>74</v>
      </c>
      <c r="T130" t="s">
        <v>1990</v>
      </c>
      <c r="U130" t="s">
        <v>1991</v>
      </c>
      <c r="V130" t="s">
        <v>1992</v>
      </c>
      <c r="W130" t="s">
        <v>1993</v>
      </c>
      <c r="X130" t="s">
        <v>1994</v>
      </c>
      <c r="Y130" t="s">
        <v>1995</v>
      </c>
      <c r="Z130" t="s">
        <v>74</v>
      </c>
      <c r="AA130" t="s">
        <v>1996</v>
      </c>
      <c r="AB130" t="s">
        <v>1997</v>
      </c>
      <c r="AC130" t="s">
        <v>74</v>
      </c>
      <c r="AD130" t="s">
        <v>74</v>
      </c>
      <c r="AE130" t="s">
        <v>74</v>
      </c>
      <c r="AF130" t="s">
        <v>74</v>
      </c>
      <c r="AG130">
        <v>58</v>
      </c>
      <c r="AH130">
        <v>22</v>
      </c>
      <c r="AI130">
        <v>26</v>
      </c>
      <c r="AJ130">
        <v>0</v>
      </c>
      <c r="AK130">
        <v>6</v>
      </c>
      <c r="AL130" t="s">
        <v>275</v>
      </c>
      <c r="AM130" t="s">
        <v>276</v>
      </c>
      <c r="AN130" t="s">
        <v>277</v>
      </c>
      <c r="AO130" t="s">
        <v>802</v>
      </c>
      <c r="AP130" t="s">
        <v>74</v>
      </c>
      <c r="AQ130" t="s">
        <v>74</v>
      </c>
      <c r="AR130" t="s">
        <v>803</v>
      </c>
      <c r="AS130" t="s">
        <v>804</v>
      </c>
      <c r="AT130" t="s">
        <v>1849</v>
      </c>
      <c r="AU130">
        <v>1999</v>
      </c>
      <c r="AV130">
        <v>124</v>
      </c>
      <c r="AW130">
        <v>2</v>
      </c>
      <c r="AX130" t="s">
        <v>74</v>
      </c>
      <c r="AY130" t="s">
        <v>74</v>
      </c>
      <c r="AZ130" t="s">
        <v>74</v>
      </c>
      <c r="BA130" t="s">
        <v>74</v>
      </c>
      <c r="BB130">
        <v>147</v>
      </c>
      <c r="BC130">
        <v>155</v>
      </c>
      <c r="BD130" t="s">
        <v>74</v>
      </c>
      <c r="BE130" t="s">
        <v>1998</v>
      </c>
      <c r="BF130" t="str">
        <f>HYPERLINK("http://dx.doi.org/10.1016/S0305-0491(99)00051-6","http://dx.doi.org/10.1016/S0305-0491(99)00051-6")</f>
        <v>http://dx.doi.org/10.1016/S0305-0491(99)00051-6</v>
      </c>
      <c r="BG130" t="s">
        <v>74</v>
      </c>
      <c r="BH130" t="s">
        <v>74</v>
      </c>
      <c r="BI130">
        <v>9</v>
      </c>
      <c r="BJ130" t="s">
        <v>806</v>
      </c>
      <c r="BK130" t="s">
        <v>96</v>
      </c>
      <c r="BL130" t="s">
        <v>806</v>
      </c>
      <c r="BM130" t="s">
        <v>1999</v>
      </c>
      <c r="BN130">
        <v>10584298</v>
      </c>
      <c r="BO130" t="s">
        <v>74</v>
      </c>
      <c r="BP130" t="s">
        <v>74</v>
      </c>
      <c r="BQ130" t="s">
        <v>74</v>
      </c>
      <c r="BR130" t="s">
        <v>99</v>
      </c>
      <c r="BS130" t="s">
        <v>2000</v>
      </c>
      <c r="BT130" t="str">
        <f>HYPERLINK("https%3A%2F%2Fwww.webofscience.com%2Fwos%2Fwoscc%2Ffull-record%2FWOS:000082764400003","View Full Record in Web of Science")</f>
        <v>View Full Record in Web of Science</v>
      </c>
    </row>
    <row r="131" spans="1:72" x14ac:dyDescent="0.15">
      <c r="A131" t="s">
        <v>72</v>
      </c>
      <c r="B131" t="s">
        <v>2001</v>
      </c>
      <c r="C131" t="s">
        <v>74</v>
      </c>
      <c r="D131" t="s">
        <v>74</v>
      </c>
      <c r="E131" t="s">
        <v>74</v>
      </c>
      <c r="F131" t="s">
        <v>2001</v>
      </c>
      <c r="G131" t="s">
        <v>74</v>
      </c>
      <c r="H131" t="s">
        <v>74</v>
      </c>
      <c r="I131" t="s">
        <v>2002</v>
      </c>
      <c r="J131" t="s">
        <v>2003</v>
      </c>
      <c r="K131" t="s">
        <v>74</v>
      </c>
      <c r="L131" t="s">
        <v>74</v>
      </c>
      <c r="M131" t="s">
        <v>77</v>
      </c>
      <c r="N131" t="s">
        <v>1187</v>
      </c>
      <c r="O131" t="s">
        <v>74</v>
      </c>
      <c r="P131" t="s">
        <v>74</v>
      </c>
      <c r="Q131" t="s">
        <v>74</v>
      </c>
      <c r="R131" t="s">
        <v>74</v>
      </c>
      <c r="S131" t="s">
        <v>74</v>
      </c>
      <c r="T131" t="s">
        <v>74</v>
      </c>
      <c r="U131" t="s">
        <v>74</v>
      </c>
      <c r="V131" t="s">
        <v>74</v>
      </c>
      <c r="W131" t="s">
        <v>2004</v>
      </c>
      <c r="X131" t="s">
        <v>2005</v>
      </c>
      <c r="Y131" t="s">
        <v>2006</v>
      </c>
      <c r="Z131" t="s">
        <v>74</v>
      </c>
      <c r="AA131" t="s">
        <v>74</v>
      </c>
      <c r="AB131" t="s">
        <v>74</v>
      </c>
      <c r="AC131" t="s">
        <v>74</v>
      </c>
      <c r="AD131" t="s">
        <v>74</v>
      </c>
      <c r="AE131" t="s">
        <v>74</v>
      </c>
      <c r="AF131" t="s">
        <v>74</v>
      </c>
      <c r="AG131">
        <v>1</v>
      </c>
      <c r="AH131">
        <v>0</v>
      </c>
      <c r="AI131">
        <v>0</v>
      </c>
      <c r="AJ131">
        <v>0</v>
      </c>
      <c r="AK131">
        <v>1</v>
      </c>
      <c r="AL131" t="s">
        <v>2003</v>
      </c>
      <c r="AM131" t="s">
        <v>2007</v>
      </c>
      <c r="AN131" t="s">
        <v>2008</v>
      </c>
      <c r="AO131" t="s">
        <v>2009</v>
      </c>
      <c r="AP131" t="s">
        <v>74</v>
      </c>
      <c r="AQ131" t="s">
        <v>74</v>
      </c>
      <c r="AR131" t="s">
        <v>2010</v>
      </c>
      <c r="AS131" t="s">
        <v>2011</v>
      </c>
      <c r="AT131" t="s">
        <v>1849</v>
      </c>
      <c r="AU131">
        <v>1999</v>
      </c>
      <c r="AV131">
        <v>4</v>
      </c>
      <c r="AW131">
        <v>4</v>
      </c>
      <c r="AX131" t="s">
        <v>74</v>
      </c>
      <c r="AY131" t="s">
        <v>74</v>
      </c>
      <c r="AZ131" t="s">
        <v>74</v>
      </c>
      <c r="BA131" t="s">
        <v>74</v>
      </c>
      <c r="BB131">
        <v>589</v>
      </c>
      <c r="BC131">
        <v>591</v>
      </c>
      <c r="BD131" t="s">
        <v>74</v>
      </c>
      <c r="BE131" t="s">
        <v>2012</v>
      </c>
      <c r="BF131" t="str">
        <f>HYPERLINK("http://dx.doi.org/10.2307/3985411","http://dx.doi.org/10.2307/3985411")</f>
        <v>http://dx.doi.org/10.2307/3985411</v>
      </c>
      <c r="BG131" t="s">
        <v>74</v>
      </c>
      <c r="BH131" t="s">
        <v>74</v>
      </c>
      <c r="BI131">
        <v>3</v>
      </c>
      <c r="BJ131" t="s">
        <v>2013</v>
      </c>
      <c r="BK131" t="s">
        <v>2014</v>
      </c>
      <c r="BL131" t="s">
        <v>2015</v>
      </c>
      <c r="BM131" t="s">
        <v>2016</v>
      </c>
      <c r="BN131" t="s">
        <v>74</v>
      </c>
      <c r="BO131" t="s">
        <v>74</v>
      </c>
      <c r="BP131" t="s">
        <v>74</v>
      </c>
      <c r="BQ131" t="s">
        <v>74</v>
      </c>
      <c r="BR131" t="s">
        <v>99</v>
      </c>
      <c r="BS131" t="s">
        <v>2017</v>
      </c>
      <c r="BT131" t="str">
        <f>HYPERLINK("https%3A%2F%2Fwww.webofscience.com%2Fwos%2Fwoscc%2Ffull-record%2FWOS:000085886500014","View Full Record in Web of Science")</f>
        <v>View Full Record in Web of Science</v>
      </c>
    </row>
    <row r="132" spans="1:72" x14ac:dyDescent="0.15">
      <c r="A132" t="s">
        <v>72</v>
      </c>
      <c r="B132" t="s">
        <v>2018</v>
      </c>
      <c r="C132" t="s">
        <v>74</v>
      </c>
      <c r="D132" t="s">
        <v>74</v>
      </c>
      <c r="E132" t="s">
        <v>74</v>
      </c>
      <c r="F132" t="s">
        <v>2018</v>
      </c>
      <c r="G132" t="s">
        <v>74</v>
      </c>
      <c r="H132" t="s">
        <v>74</v>
      </c>
      <c r="I132" t="s">
        <v>2019</v>
      </c>
      <c r="J132" t="s">
        <v>2020</v>
      </c>
      <c r="K132" t="s">
        <v>74</v>
      </c>
      <c r="L132" t="s">
        <v>74</v>
      </c>
      <c r="M132" t="s">
        <v>77</v>
      </c>
      <c r="N132" t="s">
        <v>254</v>
      </c>
      <c r="O132" t="s">
        <v>74</v>
      </c>
      <c r="P132" t="s">
        <v>74</v>
      </c>
      <c r="Q132" t="s">
        <v>74</v>
      </c>
      <c r="R132" t="s">
        <v>74</v>
      </c>
      <c r="S132" t="s">
        <v>74</v>
      </c>
      <c r="T132" t="s">
        <v>2021</v>
      </c>
      <c r="U132" t="s">
        <v>2022</v>
      </c>
      <c r="V132" t="s">
        <v>2023</v>
      </c>
      <c r="W132" t="s">
        <v>2024</v>
      </c>
      <c r="X132" t="s">
        <v>2025</v>
      </c>
      <c r="Y132" t="s">
        <v>2026</v>
      </c>
      <c r="Z132" t="s">
        <v>2027</v>
      </c>
      <c r="AA132" t="s">
        <v>74</v>
      </c>
      <c r="AB132" t="s">
        <v>74</v>
      </c>
      <c r="AC132" t="s">
        <v>74</v>
      </c>
      <c r="AD132" t="s">
        <v>74</v>
      </c>
      <c r="AE132" t="s">
        <v>74</v>
      </c>
      <c r="AF132" t="s">
        <v>74</v>
      </c>
      <c r="AG132">
        <v>115</v>
      </c>
      <c r="AH132">
        <v>236</v>
      </c>
      <c r="AI132">
        <v>282</v>
      </c>
      <c r="AJ132">
        <v>2</v>
      </c>
      <c r="AK132">
        <v>87</v>
      </c>
      <c r="AL132" t="s">
        <v>1645</v>
      </c>
      <c r="AM132" t="s">
        <v>1646</v>
      </c>
      <c r="AN132" t="s">
        <v>1647</v>
      </c>
      <c r="AO132" t="s">
        <v>2028</v>
      </c>
      <c r="AP132" t="s">
        <v>2029</v>
      </c>
      <c r="AQ132" t="s">
        <v>74</v>
      </c>
      <c r="AR132" t="s">
        <v>2030</v>
      </c>
      <c r="AS132" t="s">
        <v>2031</v>
      </c>
      <c r="AT132" t="s">
        <v>1849</v>
      </c>
      <c r="AU132">
        <v>1999</v>
      </c>
      <c r="AV132">
        <v>34</v>
      </c>
      <c r="AW132">
        <v>4</v>
      </c>
      <c r="AX132" t="s">
        <v>74</v>
      </c>
      <c r="AY132" t="s">
        <v>74</v>
      </c>
      <c r="AZ132" t="s">
        <v>74</v>
      </c>
      <c r="BA132" t="s">
        <v>74</v>
      </c>
      <c r="BB132">
        <v>319</v>
      </c>
      <c r="BC132">
        <v>328</v>
      </c>
      <c r="BD132" t="s">
        <v>74</v>
      </c>
      <c r="BE132" t="s">
        <v>2032</v>
      </c>
      <c r="BF132" t="str">
        <f>HYPERLINK("http://dx.doi.org/10.1017/S0967026299002267","http://dx.doi.org/10.1017/S0967026299002267")</f>
        <v>http://dx.doi.org/10.1017/S0967026299002267</v>
      </c>
      <c r="BG132" t="s">
        <v>74</v>
      </c>
      <c r="BH132" t="s">
        <v>74</v>
      </c>
      <c r="BI132">
        <v>10</v>
      </c>
      <c r="BJ132" t="s">
        <v>2033</v>
      </c>
      <c r="BK132" t="s">
        <v>96</v>
      </c>
      <c r="BL132" t="s">
        <v>2033</v>
      </c>
      <c r="BM132" t="s">
        <v>2034</v>
      </c>
      <c r="BN132" t="s">
        <v>74</v>
      </c>
      <c r="BO132" t="s">
        <v>250</v>
      </c>
      <c r="BP132" t="s">
        <v>74</v>
      </c>
      <c r="BQ132" t="s">
        <v>74</v>
      </c>
      <c r="BR132" t="s">
        <v>99</v>
      </c>
      <c r="BS132" t="s">
        <v>2035</v>
      </c>
      <c r="BT132" t="str">
        <f>HYPERLINK("https%3A%2F%2Fwww.webofscience.com%2Fwos%2Fwoscc%2Ffull-record%2FWOS:000083751200001","View Full Record in Web of Science")</f>
        <v>View Full Record in Web of Science</v>
      </c>
    </row>
    <row r="133" spans="1:72" x14ac:dyDescent="0.15">
      <c r="A133" t="s">
        <v>72</v>
      </c>
      <c r="B133" t="s">
        <v>2036</v>
      </c>
      <c r="C133" t="s">
        <v>74</v>
      </c>
      <c r="D133" t="s">
        <v>74</v>
      </c>
      <c r="E133" t="s">
        <v>74</v>
      </c>
      <c r="F133" t="s">
        <v>2036</v>
      </c>
      <c r="G133" t="s">
        <v>74</v>
      </c>
      <c r="H133" t="s">
        <v>74</v>
      </c>
      <c r="I133" t="s">
        <v>2037</v>
      </c>
      <c r="J133" t="s">
        <v>2020</v>
      </c>
      <c r="K133" t="s">
        <v>74</v>
      </c>
      <c r="L133" t="s">
        <v>74</v>
      </c>
      <c r="M133" t="s">
        <v>77</v>
      </c>
      <c r="N133" t="s">
        <v>78</v>
      </c>
      <c r="O133" t="s">
        <v>74</v>
      </c>
      <c r="P133" t="s">
        <v>74</v>
      </c>
      <c r="Q133" t="s">
        <v>74</v>
      </c>
      <c r="R133" t="s">
        <v>74</v>
      </c>
      <c r="S133" t="s">
        <v>74</v>
      </c>
      <c r="T133" t="s">
        <v>2038</v>
      </c>
      <c r="U133" t="s">
        <v>2039</v>
      </c>
      <c r="V133" t="s">
        <v>2040</v>
      </c>
      <c r="W133" t="s">
        <v>2041</v>
      </c>
      <c r="X133" t="s">
        <v>2042</v>
      </c>
      <c r="Y133" t="s">
        <v>2043</v>
      </c>
      <c r="Z133" t="s">
        <v>2044</v>
      </c>
      <c r="AA133" t="s">
        <v>2045</v>
      </c>
      <c r="AB133" t="s">
        <v>2046</v>
      </c>
      <c r="AC133" t="s">
        <v>74</v>
      </c>
      <c r="AD133" t="s">
        <v>74</v>
      </c>
      <c r="AE133" t="s">
        <v>74</v>
      </c>
      <c r="AF133" t="s">
        <v>74</v>
      </c>
      <c r="AG133">
        <v>85</v>
      </c>
      <c r="AH133">
        <v>133</v>
      </c>
      <c r="AI133">
        <v>141</v>
      </c>
      <c r="AJ133">
        <v>1</v>
      </c>
      <c r="AK133">
        <v>34</v>
      </c>
      <c r="AL133" t="s">
        <v>1645</v>
      </c>
      <c r="AM133" t="s">
        <v>1646</v>
      </c>
      <c r="AN133" t="s">
        <v>1647</v>
      </c>
      <c r="AO133" t="s">
        <v>2028</v>
      </c>
      <c r="AP133" t="s">
        <v>2029</v>
      </c>
      <c r="AQ133" t="s">
        <v>74</v>
      </c>
      <c r="AR133" t="s">
        <v>2030</v>
      </c>
      <c r="AS133" t="s">
        <v>2031</v>
      </c>
      <c r="AT133" t="s">
        <v>1849</v>
      </c>
      <c r="AU133">
        <v>1999</v>
      </c>
      <c r="AV133">
        <v>34</v>
      </c>
      <c r="AW133">
        <v>4</v>
      </c>
      <c r="AX133" t="s">
        <v>74</v>
      </c>
      <c r="AY133" t="s">
        <v>74</v>
      </c>
      <c r="AZ133" t="s">
        <v>74</v>
      </c>
      <c r="BA133" t="s">
        <v>74</v>
      </c>
      <c r="BB133">
        <v>329</v>
      </c>
      <c r="BC133">
        <v>338</v>
      </c>
      <c r="BD133" t="s">
        <v>74</v>
      </c>
      <c r="BE133" t="s">
        <v>2047</v>
      </c>
      <c r="BF133" t="str">
        <f>HYPERLINK("http://dx.doi.org/10.1017/S096702629900219X","http://dx.doi.org/10.1017/S096702629900219X")</f>
        <v>http://dx.doi.org/10.1017/S096702629900219X</v>
      </c>
      <c r="BG133" t="s">
        <v>74</v>
      </c>
      <c r="BH133" t="s">
        <v>74</v>
      </c>
      <c r="BI133">
        <v>10</v>
      </c>
      <c r="BJ133" t="s">
        <v>2033</v>
      </c>
      <c r="BK133" t="s">
        <v>96</v>
      </c>
      <c r="BL133" t="s">
        <v>2033</v>
      </c>
      <c r="BM133" t="s">
        <v>2034</v>
      </c>
      <c r="BN133" t="s">
        <v>74</v>
      </c>
      <c r="BO133" t="s">
        <v>250</v>
      </c>
      <c r="BP133" t="s">
        <v>74</v>
      </c>
      <c r="BQ133" t="s">
        <v>74</v>
      </c>
      <c r="BR133" t="s">
        <v>99</v>
      </c>
      <c r="BS133" t="s">
        <v>2048</v>
      </c>
      <c r="BT133" t="str">
        <f>HYPERLINK("https%3A%2F%2Fwww.webofscience.com%2Fwos%2Fwoscc%2Ffull-record%2FWOS:000083751200002","View Full Record in Web of Science")</f>
        <v>View Full Record in Web of Science</v>
      </c>
    </row>
    <row r="134" spans="1:72" x14ac:dyDescent="0.15">
      <c r="A134" t="s">
        <v>72</v>
      </c>
      <c r="B134" t="s">
        <v>2049</v>
      </c>
      <c r="C134" t="s">
        <v>74</v>
      </c>
      <c r="D134" t="s">
        <v>74</v>
      </c>
      <c r="E134" t="s">
        <v>74</v>
      </c>
      <c r="F134" t="s">
        <v>2049</v>
      </c>
      <c r="G134" t="s">
        <v>74</v>
      </c>
      <c r="H134" t="s">
        <v>74</v>
      </c>
      <c r="I134" t="s">
        <v>2050</v>
      </c>
      <c r="J134" t="s">
        <v>2020</v>
      </c>
      <c r="K134" t="s">
        <v>74</v>
      </c>
      <c r="L134" t="s">
        <v>74</v>
      </c>
      <c r="M134" t="s">
        <v>77</v>
      </c>
      <c r="N134" t="s">
        <v>78</v>
      </c>
      <c r="O134" t="s">
        <v>74</v>
      </c>
      <c r="P134" t="s">
        <v>74</v>
      </c>
      <c r="Q134" t="s">
        <v>74</v>
      </c>
      <c r="R134" t="s">
        <v>74</v>
      </c>
      <c r="S134" t="s">
        <v>74</v>
      </c>
      <c r="T134" t="s">
        <v>2051</v>
      </c>
      <c r="U134" t="s">
        <v>2052</v>
      </c>
      <c r="V134" t="s">
        <v>2053</v>
      </c>
      <c r="W134" t="s">
        <v>2054</v>
      </c>
      <c r="X134" t="s">
        <v>2055</v>
      </c>
      <c r="Y134" t="s">
        <v>2056</v>
      </c>
      <c r="Z134" t="s">
        <v>74</v>
      </c>
      <c r="AA134" t="s">
        <v>74</v>
      </c>
      <c r="AB134" t="s">
        <v>74</v>
      </c>
      <c r="AC134" t="s">
        <v>74</v>
      </c>
      <c r="AD134" t="s">
        <v>74</v>
      </c>
      <c r="AE134" t="s">
        <v>74</v>
      </c>
      <c r="AF134" t="s">
        <v>74</v>
      </c>
      <c r="AG134">
        <v>50</v>
      </c>
      <c r="AH134">
        <v>76</v>
      </c>
      <c r="AI134">
        <v>85</v>
      </c>
      <c r="AJ134">
        <v>1</v>
      </c>
      <c r="AK134">
        <v>42</v>
      </c>
      <c r="AL134" t="s">
        <v>2057</v>
      </c>
      <c r="AM134" t="s">
        <v>554</v>
      </c>
      <c r="AN134" t="s">
        <v>2058</v>
      </c>
      <c r="AO134" t="s">
        <v>2028</v>
      </c>
      <c r="AP134" t="s">
        <v>74</v>
      </c>
      <c r="AQ134" t="s">
        <v>74</v>
      </c>
      <c r="AR134" t="s">
        <v>2030</v>
      </c>
      <c r="AS134" t="s">
        <v>2031</v>
      </c>
      <c r="AT134" t="s">
        <v>1849</v>
      </c>
      <c r="AU134">
        <v>1999</v>
      </c>
      <c r="AV134">
        <v>34</v>
      </c>
      <c r="AW134">
        <v>4</v>
      </c>
      <c r="AX134" t="s">
        <v>74</v>
      </c>
      <c r="AY134" t="s">
        <v>74</v>
      </c>
      <c r="AZ134" t="s">
        <v>74</v>
      </c>
      <c r="BA134" t="s">
        <v>74</v>
      </c>
      <c r="BB134">
        <v>381</v>
      </c>
      <c r="BC134">
        <v>391</v>
      </c>
      <c r="BD134" t="s">
        <v>74</v>
      </c>
      <c r="BE134" t="s">
        <v>2059</v>
      </c>
      <c r="BF134" t="str">
        <f>HYPERLINK("http://dx.doi.org/10.1080/09670269910001736442","http://dx.doi.org/10.1080/09670269910001736442")</f>
        <v>http://dx.doi.org/10.1080/09670269910001736442</v>
      </c>
      <c r="BG134" t="s">
        <v>74</v>
      </c>
      <c r="BH134" t="s">
        <v>74</v>
      </c>
      <c r="BI134">
        <v>11</v>
      </c>
      <c r="BJ134" t="s">
        <v>2033</v>
      </c>
      <c r="BK134" t="s">
        <v>96</v>
      </c>
      <c r="BL134" t="s">
        <v>2033</v>
      </c>
      <c r="BM134" t="s">
        <v>2034</v>
      </c>
      <c r="BN134" t="s">
        <v>74</v>
      </c>
      <c r="BO134" t="s">
        <v>200</v>
      </c>
      <c r="BP134" t="s">
        <v>74</v>
      </c>
      <c r="BQ134" t="s">
        <v>74</v>
      </c>
      <c r="BR134" t="s">
        <v>99</v>
      </c>
      <c r="BS134" t="s">
        <v>2060</v>
      </c>
      <c r="BT134" t="str">
        <f>HYPERLINK("https%3A%2F%2Fwww.webofscience.com%2Fwos%2Fwoscc%2Ffull-record%2FWOS:000083751200007","View Full Record in Web of Science")</f>
        <v>View Full Record in Web of Science</v>
      </c>
    </row>
    <row r="135" spans="1:72" x14ac:dyDescent="0.15">
      <c r="A135" t="s">
        <v>72</v>
      </c>
      <c r="B135" t="s">
        <v>2061</v>
      </c>
      <c r="C135" t="s">
        <v>74</v>
      </c>
      <c r="D135" t="s">
        <v>74</v>
      </c>
      <c r="E135" t="s">
        <v>74</v>
      </c>
      <c r="F135" t="s">
        <v>2061</v>
      </c>
      <c r="G135" t="s">
        <v>74</v>
      </c>
      <c r="H135" t="s">
        <v>74</v>
      </c>
      <c r="I135" t="s">
        <v>2062</v>
      </c>
      <c r="J135" t="s">
        <v>2063</v>
      </c>
      <c r="K135" t="s">
        <v>74</v>
      </c>
      <c r="L135" t="s">
        <v>74</v>
      </c>
      <c r="M135" t="s">
        <v>77</v>
      </c>
      <c r="N135" t="s">
        <v>254</v>
      </c>
      <c r="O135" t="s">
        <v>74</v>
      </c>
      <c r="P135" t="s">
        <v>74</v>
      </c>
      <c r="Q135" t="s">
        <v>74</v>
      </c>
      <c r="R135" t="s">
        <v>74</v>
      </c>
      <c r="S135" t="s">
        <v>74</v>
      </c>
      <c r="T135" t="s">
        <v>2064</v>
      </c>
      <c r="U135" t="s">
        <v>2065</v>
      </c>
      <c r="V135" t="s">
        <v>2066</v>
      </c>
      <c r="W135" t="s">
        <v>2067</v>
      </c>
      <c r="X135" t="s">
        <v>2068</v>
      </c>
      <c r="Y135" t="s">
        <v>2069</v>
      </c>
      <c r="Z135" t="s">
        <v>2070</v>
      </c>
      <c r="AA135" t="s">
        <v>74</v>
      </c>
      <c r="AB135" t="s">
        <v>74</v>
      </c>
      <c r="AC135" t="s">
        <v>74</v>
      </c>
      <c r="AD135" t="s">
        <v>74</v>
      </c>
      <c r="AE135" t="s">
        <v>74</v>
      </c>
      <c r="AF135" t="s">
        <v>74</v>
      </c>
      <c r="AG135">
        <v>49</v>
      </c>
      <c r="AH135">
        <v>346</v>
      </c>
      <c r="AI135">
        <v>409</v>
      </c>
      <c r="AJ135">
        <v>12</v>
      </c>
      <c r="AK135">
        <v>159</v>
      </c>
      <c r="AL135" t="s">
        <v>1090</v>
      </c>
      <c r="AM135" t="s">
        <v>276</v>
      </c>
      <c r="AN135" t="s">
        <v>1091</v>
      </c>
      <c r="AO135" t="s">
        <v>2071</v>
      </c>
      <c r="AP135" t="s">
        <v>2072</v>
      </c>
      <c r="AQ135" t="s">
        <v>74</v>
      </c>
      <c r="AR135" t="s">
        <v>2073</v>
      </c>
      <c r="AS135" t="s">
        <v>2074</v>
      </c>
      <c r="AT135" t="s">
        <v>1849</v>
      </c>
      <c r="AU135">
        <v>1999</v>
      </c>
      <c r="AV135">
        <v>30</v>
      </c>
      <c r="AW135">
        <v>2</v>
      </c>
      <c r="AX135" t="s">
        <v>74</v>
      </c>
      <c r="AY135" t="s">
        <v>74</v>
      </c>
      <c r="AZ135" t="s">
        <v>74</v>
      </c>
      <c r="BA135" t="s">
        <v>74</v>
      </c>
      <c r="BB135">
        <v>101</v>
      </c>
      <c r="BC135">
        <v>111</v>
      </c>
      <c r="BD135" t="s">
        <v>74</v>
      </c>
      <c r="BE135" t="s">
        <v>74</v>
      </c>
      <c r="BF135" t="s">
        <v>74</v>
      </c>
      <c r="BG135" t="s">
        <v>74</v>
      </c>
      <c r="BH135" t="s">
        <v>74</v>
      </c>
      <c r="BI135">
        <v>11</v>
      </c>
      <c r="BJ135" t="s">
        <v>2075</v>
      </c>
      <c r="BK135" t="s">
        <v>96</v>
      </c>
      <c r="BL135" t="s">
        <v>2075</v>
      </c>
      <c r="BM135" t="s">
        <v>2076</v>
      </c>
      <c r="BN135">
        <v>10508935</v>
      </c>
      <c r="BO135" t="s">
        <v>74</v>
      </c>
      <c r="BP135" t="s">
        <v>74</v>
      </c>
      <c r="BQ135" t="s">
        <v>74</v>
      </c>
      <c r="BR135" t="s">
        <v>99</v>
      </c>
      <c r="BS135" t="s">
        <v>2077</v>
      </c>
      <c r="BT135" t="str">
        <f>HYPERLINK("https%3A%2F%2Fwww.webofscience.com%2Fwos%2Fwoscc%2Ffull-record%2FWOS:000083160400001","View Full Record in Web of Science")</f>
        <v>View Full Record in Web of Science</v>
      </c>
    </row>
    <row r="136" spans="1:72" x14ac:dyDescent="0.15">
      <c r="A136" t="s">
        <v>72</v>
      </c>
      <c r="B136" t="s">
        <v>2078</v>
      </c>
      <c r="C136" t="s">
        <v>74</v>
      </c>
      <c r="D136" t="s">
        <v>74</v>
      </c>
      <c r="E136" t="s">
        <v>74</v>
      </c>
      <c r="F136" t="s">
        <v>2078</v>
      </c>
      <c r="G136" t="s">
        <v>74</v>
      </c>
      <c r="H136" t="s">
        <v>74</v>
      </c>
      <c r="I136" t="s">
        <v>2079</v>
      </c>
      <c r="J136" t="s">
        <v>2080</v>
      </c>
      <c r="K136" t="s">
        <v>74</v>
      </c>
      <c r="L136" t="s">
        <v>74</v>
      </c>
      <c r="M136" t="s">
        <v>77</v>
      </c>
      <c r="N136" t="s">
        <v>254</v>
      </c>
      <c r="O136" t="s">
        <v>74</v>
      </c>
      <c r="P136" t="s">
        <v>74</v>
      </c>
      <c r="Q136" t="s">
        <v>74</v>
      </c>
      <c r="R136" t="s">
        <v>74</v>
      </c>
      <c r="S136" t="s">
        <v>74</v>
      </c>
      <c r="T136" t="s">
        <v>74</v>
      </c>
      <c r="U136" t="s">
        <v>2081</v>
      </c>
      <c r="V136" t="s">
        <v>2082</v>
      </c>
      <c r="W136" t="s">
        <v>2083</v>
      </c>
      <c r="X136" t="s">
        <v>2084</v>
      </c>
      <c r="Y136" t="s">
        <v>2085</v>
      </c>
      <c r="Z136" t="s">
        <v>2086</v>
      </c>
      <c r="AA136" t="s">
        <v>2087</v>
      </c>
      <c r="AB136" t="s">
        <v>74</v>
      </c>
      <c r="AC136" t="s">
        <v>74</v>
      </c>
      <c r="AD136" t="s">
        <v>74</v>
      </c>
      <c r="AE136" t="s">
        <v>74</v>
      </c>
      <c r="AF136" t="s">
        <v>74</v>
      </c>
      <c r="AG136">
        <v>109</v>
      </c>
      <c r="AH136">
        <v>305</v>
      </c>
      <c r="AI136">
        <v>330</v>
      </c>
      <c r="AJ136">
        <v>0</v>
      </c>
      <c r="AK136">
        <v>32</v>
      </c>
      <c r="AL136" t="s">
        <v>922</v>
      </c>
      <c r="AM136" t="s">
        <v>589</v>
      </c>
      <c r="AN136" t="s">
        <v>897</v>
      </c>
      <c r="AO136" t="s">
        <v>2088</v>
      </c>
      <c r="AP136" t="s">
        <v>2089</v>
      </c>
      <c r="AQ136" t="s">
        <v>74</v>
      </c>
      <c r="AR136" t="s">
        <v>2090</v>
      </c>
      <c r="AS136" t="s">
        <v>2091</v>
      </c>
      <c r="AT136" t="s">
        <v>1849</v>
      </c>
      <c r="AU136">
        <v>1999</v>
      </c>
      <c r="AV136">
        <v>111</v>
      </c>
      <c r="AW136">
        <v>10</v>
      </c>
      <c r="AX136" t="s">
        <v>74</v>
      </c>
      <c r="AY136" t="s">
        <v>74</v>
      </c>
      <c r="AZ136" t="s">
        <v>74</v>
      </c>
      <c r="BA136" t="s">
        <v>74</v>
      </c>
      <c r="BB136">
        <v>1486</v>
      </c>
      <c r="BC136">
        <v>1516</v>
      </c>
      <c r="BD136" t="s">
        <v>74</v>
      </c>
      <c r="BE136" t="s">
        <v>2092</v>
      </c>
      <c r="BF136" t="str">
        <f>HYPERLINK("http://dx.doi.org/10.1130/0016-7606(1999)111&lt;1486:LPHROT&gt;2.3.CO;2","http://dx.doi.org/10.1130/0016-7606(1999)111&lt;1486:LPHROT&gt;2.3.CO;2")</f>
        <v>http://dx.doi.org/10.1130/0016-7606(1999)111&lt;1486:LPHROT&gt;2.3.CO;2</v>
      </c>
      <c r="BG136" t="s">
        <v>74</v>
      </c>
      <c r="BH136" t="s">
        <v>74</v>
      </c>
      <c r="BI136">
        <v>31</v>
      </c>
      <c r="BJ136" t="s">
        <v>387</v>
      </c>
      <c r="BK136" t="s">
        <v>96</v>
      </c>
      <c r="BL136" t="s">
        <v>388</v>
      </c>
      <c r="BM136" t="s">
        <v>2093</v>
      </c>
      <c r="BN136" t="s">
        <v>74</v>
      </c>
      <c r="BO136" t="s">
        <v>74</v>
      </c>
      <c r="BP136" t="s">
        <v>74</v>
      </c>
      <c r="BQ136" t="s">
        <v>74</v>
      </c>
      <c r="BR136" t="s">
        <v>99</v>
      </c>
      <c r="BS136" t="s">
        <v>2094</v>
      </c>
      <c r="BT136" t="str">
        <f>HYPERLINK("https%3A%2F%2Fwww.webofscience.com%2Fwos%2Fwoscc%2Ffull-record%2FWOS:000082873400005","View Full Record in Web of Science")</f>
        <v>View Full Record in Web of Science</v>
      </c>
    </row>
    <row r="137" spans="1:72" x14ac:dyDescent="0.15">
      <c r="A137" t="s">
        <v>72</v>
      </c>
      <c r="B137" t="s">
        <v>2095</v>
      </c>
      <c r="C137" t="s">
        <v>74</v>
      </c>
      <c r="D137" t="s">
        <v>74</v>
      </c>
      <c r="E137" t="s">
        <v>74</v>
      </c>
      <c r="F137" t="s">
        <v>2095</v>
      </c>
      <c r="G137" t="s">
        <v>74</v>
      </c>
      <c r="H137" t="s">
        <v>74</v>
      </c>
      <c r="I137" t="s">
        <v>2096</v>
      </c>
      <c r="J137" t="s">
        <v>2080</v>
      </c>
      <c r="K137" t="s">
        <v>74</v>
      </c>
      <c r="L137" t="s">
        <v>74</v>
      </c>
      <c r="M137" t="s">
        <v>77</v>
      </c>
      <c r="N137" t="s">
        <v>78</v>
      </c>
      <c r="O137" t="s">
        <v>74</v>
      </c>
      <c r="P137" t="s">
        <v>74</v>
      </c>
      <c r="Q137" t="s">
        <v>74</v>
      </c>
      <c r="R137" t="s">
        <v>74</v>
      </c>
      <c r="S137" t="s">
        <v>74</v>
      </c>
      <c r="T137" t="s">
        <v>74</v>
      </c>
      <c r="U137" t="s">
        <v>2097</v>
      </c>
      <c r="V137" t="s">
        <v>2098</v>
      </c>
      <c r="W137" t="s">
        <v>2099</v>
      </c>
      <c r="X137" t="s">
        <v>2100</v>
      </c>
      <c r="Y137" t="s">
        <v>2101</v>
      </c>
      <c r="Z137" t="s">
        <v>74</v>
      </c>
      <c r="AA137" t="s">
        <v>2087</v>
      </c>
      <c r="AB137" t="s">
        <v>74</v>
      </c>
      <c r="AC137" t="s">
        <v>74</v>
      </c>
      <c r="AD137" t="s">
        <v>74</v>
      </c>
      <c r="AE137" t="s">
        <v>74</v>
      </c>
      <c r="AF137" t="s">
        <v>74</v>
      </c>
      <c r="AG137">
        <v>62</v>
      </c>
      <c r="AH137">
        <v>251</v>
      </c>
      <c r="AI137">
        <v>288</v>
      </c>
      <c r="AJ137">
        <v>1</v>
      </c>
      <c r="AK137">
        <v>26</v>
      </c>
      <c r="AL137" t="s">
        <v>2102</v>
      </c>
      <c r="AM137" t="s">
        <v>2103</v>
      </c>
      <c r="AN137" t="s">
        <v>2104</v>
      </c>
      <c r="AO137" t="s">
        <v>2088</v>
      </c>
      <c r="AP137" t="s">
        <v>74</v>
      </c>
      <c r="AQ137" t="s">
        <v>74</v>
      </c>
      <c r="AR137" t="s">
        <v>2090</v>
      </c>
      <c r="AS137" t="s">
        <v>2091</v>
      </c>
      <c r="AT137" t="s">
        <v>1849</v>
      </c>
      <c r="AU137">
        <v>1999</v>
      </c>
      <c r="AV137">
        <v>111</v>
      </c>
      <c r="AW137">
        <v>10</v>
      </c>
      <c r="AX137" t="s">
        <v>74</v>
      </c>
      <c r="AY137" t="s">
        <v>74</v>
      </c>
      <c r="AZ137" t="s">
        <v>74</v>
      </c>
      <c r="BA137" t="s">
        <v>74</v>
      </c>
      <c r="BB137">
        <v>1517</v>
      </c>
      <c r="BC137">
        <v>1536</v>
      </c>
      <c r="BD137" t="s">
        <v>74</v>
      </c>
      <c r="BE137" t="s">
        <v>2105</v>
      </c>
      <c r="BF137" t="str">
        <f>HYPERLINK("http://dx.doi.org/10.1130/0016-7606(1999)111&lt;1517:LPHROT&gt;2.3.CO;2","http://dx.doi.org/10.1130/0016-7606(1999)111&lt;1517:LPHROT&gt;2.3.CO;2")</f>
        <v>http://dx.doi.org/10.1130/0016-7606(1999)111&lt;1517:LPHROT&gt;2.3.CO;2</v>
      </c>
      <c r="BG137" t="s">
        <v>74</v>
      </c>
      <c r="BH137" t="s">
        <v>74</v>
      </c>
      <c r="BI137">
        <v>20</v>
      </c>
      <c r="BJ137" t="s">
        <v>387</v>
      </c>
      <c r="BK137" t="s">
        <v>96</v>
      </c>
      <c r="BL137" t="s">
        <v>388</v>
      </c>
      <c r="BM137" t="s">
        <v>2093</v>
      </c>
      <c r="BN137" t="s">
        <v>74</v>
      </c>
      <c r="BO137" t="s">
        <v>74</v>
      </c>
      <c r="BP137" t="s">
        <v>74</v>
      </c>
      <c r="BQ137" t="s">
        <v>74</v>
      </c>
      <c r="BR137" t="s">
        <v>99</v>
      </c>
      <c r="BS137" t="s">
        <v>2106</v>
      </c>
      <c r="BT137" t="str">
        <f>HYPERLINK("https%3A%2F%2Fwww.webofscience.com%2Fwos%2Fwoscc%2Ffull-record%2FWOS:000082873400006","View Full Record in Web of Science")</f>
        <v>View Full Record in Web of Science</v>
      </c>
    </row>
    <row r="138" spans="1:72" x14ac:dyDescent="0.15">
      <c r="A138" t="s">
        <v>72</v>
      </c>
      <c r="B138" t="s">
        <v>2107</v>
      </c>
      <c r="C138" t="s">
        <v>74</v>
      </c>
      <c r="D138" t="s">
        <v>74</v>
      </c>
      <c r="E138" t="s">
        <v>74</v>
      </c>
      <c r="F138" t="s">
        <v>2107</v>
      </c>
      <c r="G138" t="s">
        <v>74</v>
      </c>
      <c r="H138" t="s">
        <v>74</v>
      </c>
      <c r="I138" t="s">
        <v>2108</v>
      </c>
      <c r="J138" t="s">
        <v>2080</v>
      </c>
      <c r="K138" t="s">
        <v>74</v>
      </c>
      <c r="L138" t="s">
        <v>74</v>
      </c>
      <c r="M138" t="s">
        <v>77</v>
      </c>
      <c r="N138" t="s">
        <v>78</v>
      </c>
      <c r="O138" t="s">
        <v>74</v>
      </c>
      <c r="P138" t="s">
        <v>74</v>
      </c>
      <c r="Q138" t="s">
        <v>74</v>
      </c>
      <c r="R138" t="s">
        <v>74</v>
      </c>
      <c r="S138" t="s">
        <v>74</v>
      </c>
      <c r="T138" t="s">
        <v>74</v>
      </c>
      <c r="U138" t="s">
        <v>2109</v>
      </c>
      <c r="V138" t="s">
        <v>2110</v>
      </c>
      <c r="W138" t="s">
        <v>2111</v>
      </c>
      <c r="X138" t="s">
        <v>2112</v>
      </c>
      <c r="Y138" t="s">
        <v>2113</v>
      </c>
      <c r="Z138" t="s">
        <v>2114</v>
      </c>
      <c r="AA138" t="s">
        <v>2115</v>
      </c>
      <c r="AB138" t="s">
        <v>2116</v>
      </c>
      <c r="AC138" t="s">
        <v>74</v>
      </c>
      <c r="AD138" t="s">
        <v>74</v>
      </c>
      <c r="AE138" t="s">
        <v>74</v>
      </c>
      <c r="AF138" t="s">
        <v>74</v>
      </c>
      <c r="AG138">
        <v>46</v>
      </c>
      <c r="AH138">
        <v>69</v>
      </c>
      <c r="AI138">
        <v>75</v>
      </c>
      <c r="AJ138">
        <v>0</v>
      </c>
      <c r="AK138">
        <v>13</v>
      </c>
      <c r="AL138" t="s">
        <v>922</v>
      </c>
      <c r="AM138" t="s">
        <v>589</v>
      </c>
      <c r="AN138" t="s">
        <v>897</v>
      </c>
      <c r="AO138" t="s">
        <v>2088</v>
      </c>
      <c r="AP138" t="s">
        <v>2089</v>
      </c>
      <c r="AQ138" t="s">
        <v>74</v>
      </c>
      <c r="AR138" t="s">
        <v>2090</v>
      </c>
      <c r="AS138" t="s">
        <v>2091</v>
      </c>
      <c r="AT138" t="s">
        <v>1849</v>
      </c>
      <c r="AU138">
        <v>1999</v>
      </c>
      <c r="AV138">
        <v>111</v>
      </c>
      <c r="AW138">
        <v>10</v>
      </c>
      <c r="AX138" t="s">
        <v>74</v>
      </c>
      <c r="AY138" t="s">
        <v>74</v>
      </c>
      <c r="AZ138" t="s">
        <v>74</v>
      </c>
      <c r="BA138" t="s">
        <v>74</v>
      </c>
      <c r="BB138">
        <v>1563</v>
      </c>
      <c r="BC138">
        <v>1580</v>
      </c>
      <c r="BD138" t="s">
        <v>74</v>
      </c>
      <c r="BE138" t="s">
        <v>2117</v>
      </c>
      <c r="BF138" t="str">
        <f>HYPERLINK("http://dx.doi.org/10.1130/0016-7606(1999)111&lt;1563:LQVAIM&gt;2.3.CO;2","http://dx.doi.org/10.1130/0016-7606(1999)111&lt;1563:LQVAIM&gt;2.3.CO;2")</f>
        <v>http://dx.doi.org/10.1130/0016-7606(1999)111&lt;1563:LQVAIM&gt;2.3.CO;2</v>
      </c>
      <c r="BG138" t="s">
        <v>74</v>
      </c>
      <c r="BH138" t="s">
        <v>74</v>
      </c>
      <c r="BI138">
        <v>18</v>
      </c>
      <c r="BJ138" t="s">
        <v>387</v>
      </c>
      <c r="BK138" t="s">
        <v>96</v>
      </c>
      <c r="BL138" t="s">
        <v>388</v>
      </c>
      <c r="BM138" t="s">
        <v>2093</v>
      </c>
      <c r="BN138" t="s">
        <v>74</v>
      </c>
      <c r="BO138" t="s">
        <v>74</v>
      </c>
      <c r="BP138" t="s">
        <v>74</v>
      </c>
      <c r="BQ138" t="s">
        <v>74</v>
      </c>
      <c r="BR138" t="s">
        <v>99</v>
      </c>
      <c r="BS138" t="s">
        <v>2118</v>
      </c>
      <c r="BT138" t="str">
        <f>HYPERLINK("https%3A%2F%2Fwww.webofscience.com%2Fwos%2Fwoscc%2Ffull-record%2FWOS:000082873400009","View Full Record in Web of Science")</f>
        <v>View Full Record in Web of Science</v>
      </c>
    </row>
    <row r="139" spans="1:72" x14ac:dyDescent="0.15">
      <c r="A139" t="s">
        <v>72</v>
      </c>
      <c r="B139" t="s">
        <v>2119</v>
      </c>
      <c r="C139" t="s">
        <v>74</v>
      </c>
      <c r="D139" t="s">
        <v>74</v>
      </c>
      <c r="E139" t="s">
        <v>74</v>
      </c>
      <c r="F139" t="s">
        <v>2119</v>
      </c>
      <c r="G139" t="s">
        <v>74</v>
      </c>
      <c r="H139" t="s">
        <v>74</v>
      </c>
      <c r="I139" t="s">
        <v>2120</v>
      </c>
      <c r="J139" t="s">
        <v>889</v>
      </c>
      <c r="K139" t="s">
        <v>74</v>
      </c>
      <c r="L139" t="s">
        <v>74</v>
      </c>
      <c r="M139" t="s">
        <v>77</v>
      </c>
      <c r="N139" t="s">
        <v>78</v>
      </c>
      <c r="O139" t="s">
        <v>74</v>
      </c>
      <c r="P139" t="s">
        <v>74</v>
      </c>
      <c r="Q139" t="s">
        <v>74</v>
      </c>
      <c r="R139" t="s">
        <v>74</v>
      </c>
      <c r="S139" t="s">
        <v>74</v>
      </c>
      <c r="T139" t="s">
        <v>74</v>
      </c>
      <c r="U139" t="s">
        <v>2121</v>
      </c>
      <c r="V139" t="s">
        <v>2122</v>
      </c>
      <c r="W139" t="s">
        <v>2123</v>
      </c>
      <c r="X139" t="s">
        <v>2124</v>
      </c>
      <c r="Y139" t="s">
        <v>2125</v>
      </c>
      <c r="Z139" t="s">
        <v>74</v>
      </c>
      <c r="AA139" t="s">
        <v>74</v>
      </c>
      <c r="AB139" t="s">
        <v>2126</v>
      </c>
      <c r="AC139" t="s">
        <v>74</v>
      </c>
      <c r="AD139" t="s">
        <v>74</v>
      </c>
      <c r="AE139" t="s">
        <v>74</v>
      </c>
      <c r="AF139" t="s">
        <v>74</v>
      </c>
      <c r="AG139">
        <v>33</v>
      </c>
      <c r="AH139">
        <v>19</v>
      </c>
      <c r="AI139">
        <v>24</v>
      </c>
      <c r="AJ139">
        <v>1</v>
      </c>
      <c r="AK139">
        <v>18</v>
      </c>
      <c r="AL139" t="s">
        <v>896</v>
      </c>
      <c r="AM139" t="s">
        <v>589</v>
      </c>
      <c r="AN139" t="s">
        <v>897</v>
      </c>
      <c r="AO139" t="s">
        <v>898</v>
      </c>
      <c r="AP139" t="s">
        <v>74</v>
      </c>
      <c r="AQ139" t="s">
        <v>74</v>
      </c>
      <c r="AR139" t="s">
        <v>889</v>
      </c>
      <c r="AS139" t="s">
        <v>388</v>
      </c>
      <c r="AT139" t="s">
        <v>1849</v>
      </c>
      <c r="AU139">
        <v>1999</v>
      </c>
      <c r="AV139">
        <v>27</v>
      </c>
      <c r="AW139">
        <v>10</v>
      </c>
      <c r="AX139" t="s">
        <v>74</v>
      </c>
      <c r="AY139" t="s">
        <v>74</v>
      </c>
      <c r="AZ139" t="s">
        <v>74</v>
      </c>
      <c r="BA139" t="s">
        <v>74</v>
      </c>
      <c r="BB139">
        <v>911</v>
      </c>
      <c r="BC139">
        <v>914</v>
      </c>
      <c r="BD139" t="s">
        <v>74</v>
      </c>
      <c r="BE139" t="s">
        <v>2127</v>
      </c>
      <c r="BF139" t="str">
        <f>HYPERLINK("http://dx.doi.org/10.1130/0091-7613(1999)027&lt;0911:ETJMBR&gt;2.3.CO;2","http://dx.doi.org/10.1130/0091-7613(1999)027&lt;0911:ETJMBR&gt;2.3.CO;2")</f>
        <v>http://dx.doi.org/10.1130/0091-7613(1999)027&lt;0911:ETJMBR&gt;2.3.CO;2</v>
      </c>
      <c r="BG139" t="s">
        <v>74</v>
      </c>
      <c r="BH139" t="s">
        <v>74</v>
      </c>
      <c r="BI139">
        <v>4</v>
      </c>
      <c r="BJ139" t="s">
        <v>388</v>
      </c>
      <c r="BK139" t="s">
        <v>96</v>
      </c>
      <c r="BL139" t="s">
        <v>388</v>
      </c>
      <c r="BM139" t="s">
        <v>2128</v>
      </c>
      <c r="BN139" t="s">
        <v>74</v>
      </c>
      <c r="BO139" t="s">
        <v>74</v>
      </c>
      <c r="BP139" t="s">
        <v>74</v>
      </c>
      <c r="BQ139" t="s">
        <v>74</v>
      </c>
      <c r="BR139" t="s">
        <v>99</v>
      </c>
      <c r="BS139" t="s">
        <v>2129</v>
      </c>
      <c r="BT139" t="str">
        <f>HYPERLINK("https%3A%2F%2Fwww.webofscience.com%2Fwos%2Fwoscc%2Ffull-record%2FWOS:000082873300012","View Full Record in Web of Science")</f>
        <v>View Full Record in Web of Science</v>
      </c>
    </row>
    <row r="140" spans="1:72" x14ac:dyDescent="0.15">
      <c r="A140" t="s">
        <v>72</v>
      </c>
      <c r="B140" t="s">
        <v>2130</v>
      </c>
      <c r="C140" t="s">
        <v>74</v>
      </c>
      <c r="D140" t="s">
        <v>74</v>
      </c>
      <c r="E140" t="s">
        <v>74</v>
      </c>
      <c r="F140" t="s">
        <v>2130</v>
      </c>
      <c r="G140" t="s">
        <v>74</v>
      </c>
      <c r="H140" t="s">
        <v>74</v>
      </c>
      <c r="I140" t="s">
        <v>2131</v>
      </c>
      <c r="J140" t="s">
        <v>2132</v>
      </c>
      <c r="K140" t="s">
        <v>74</v>
      </c>
      <c r="L140" t="s">
        <v>74</v>
      </c>
      <c r="M140" t="s">
        <v>77</v>
      </c>
      <c r="N140" t="s">
        <v>123</v>
      </c>
      <c r="O140" t="s">
        <v>2133</v>
      </c>
      <c r="P140" t="s">
        <v>2134</v>
      </c>
      <c r="Q140" t="s">
        <v>2135</v>
      </c>
      <c r="R140" t="s">
        <v>74</v>
      </c>
      <c r="S140" t="s">
        <v>74</v>
      </c>
      <c r="T140" t="s">
        <v>2136</v>
      </c>
      <c r="U140" t="s">
        <v>2137</v>
      </c>
      <c r="V140" t="s">
        <v>2138</v>
      </c>
      <c r="W140" t="s">
        <v>2139</v>
      </c>
      <c r="X140" t="s">
        <v>2140</v>
      </c>
      <c r="Y140" t="s">
        <v>2141</v>
      </c>
      <c r="Z140" t="s">
        <v>2142</v>
      </c>
      <c r="AA140" t="s">
        <v>2143</v>
      </c>
      <c r="AB140" t="s">
        <v>2144</v>
      </c>
      <c r="AC140" t="s">
        <v>74</v>
      </c>
      <c r="AD140" t="s">
        <v>74</v>
      </c>
      <c r="AE140" t="s">
        <v>74</v>
      </c>
      <c r="AF140" t="s">
        <v>74</v>
      </c>
      <c r="AG140">
        <v>45</v>
      </c>
      <c r="AH140">
        <v>16</v>
      </c>
      <c r="AI140">
        <v>19</v>
      </c>
      <c r="AJ140">
        <v>1</v>
      </c>
      <c r="AK140">
        <v>4</v>
      </c>
      <c r="AL140" t="s">
        <v>1263</v>
      </c>
      <c r="AM140" t="s">
        <v>211</v>
      </c>
      <c r="AN140" t="s">
        <v>1264</v>
      </c>
      <c r="AO140" t="s">
        <v>2145</v>
      </c>
      <c r="AP140" t="s">
        <v>2146</v>
      </c>
      <c r="AQ140" t="s">
        <v>74</v>
      </c>
      <c r="AR140" t="s">
        <v>2147</v>
      </c>
      <c r="AS140" t="s">
        <v>2148</v>
      </c>
      <c r="AT140" t="s">
        <v>1849</v>
      </c>
      <c r="AU140">
        <v>1999</v>
      </c>
      <c r="AV140">
        <v>22</v>
      </c>
      <c r="AW140" t="s">
        <v>2149</v>
      </c>
      <c r="AX140" t="s">
        <v>74</v>
      </c>
      <c r="AY140" t="s">
        <v>74</v>
      </c>
      <c r="AZ140" t="s">
        <v>74</v>
      </c>
      <c r="BA140" t="s">
        <v>74</v>
      </c>
      <c r="BB140">
        <v>117</v>
      </c>
      <c r="BC140">
        <v>130</v>
      </c>
      <c r="BD140" t="s">
        <v>74</v>
      </c>
      <c r="BE140" t="s">
        <v>2150</v>
      </c>
      <c r="BF140" t="str">
        <f>HYPERLINK("http://dx.doi.org/10.1016/S0921-8181(99)00030-2","http://dx.doi.org/10.1016/S0921-8181(99)00030-2")</f>
        <v>http://dx.doi.org/10.1016/S0921-8181(99)00030-2</v>
      </c>
      <c r="BG140" t="s">
        <v>74</v>
      </c>
      <c r="BH140" t="s">
        <v>74</v>
      </c>
      <c r="BI140">
        <v>14</v>
      </c>
      <c r="BJ140" t="s">
        <v>2151</v>
      </c>
      <c r="BK140" t="s">
        <v>156</v>
      </c>
      <c r="BL140" t="s">
        <v>2152</v>
      </c>
      <c r="BM140" t="s">
        <v>2153</v>
      </c>
      <c r="BN140" t="s">
        <v>74</v>
      </c>
      <c r="BO140" t="s">
        <v>74</v>
      </c>
      <c r="BP140" t="s">
        <v>74</v>
      </c>
      <c r="BQ140" t="s">
        <v>74</v>
      </c>
      <c r="BR140" t="s">
        <v>99</v>
      </c>
      <c r="BS140" t="s">
        <v>2154</v>
      </c>
      <c r="BT140" t="str">
        <f>HYPERLINK("https%3A%2F%2Fwww.webofscience.com%2Fwos%2Fwoscc%2Ffull-record%2FWOS:000084463600011","View Full Record in Web of Science")</f>
        <v>View Full Record in Web of Science</v>
      </c>
    </row>
    <row r="141" spans="1:72" x14ac:dyDescent="0.15">
      <c r="A141" t="s">
        <v>72</v>
      </c>
      <c r="B141" t="s">
        <v>2155</v>
      </c>
      <c r="C141" t="s">
        <v>74</v>
      </c>
      <c r="D141" t="s">
        <v>74</v>
      </c>
      <c r="E141" t="s">
        <v>74</v>
      </c>
      <c r="F141" t="s">
        <v>2155</v>
      </c>
      <c r="G141" t="s">
        <v>74</v>
      </c>
      <c r="H141" t="s">
        <v>74</v>
      </c>
      <c r="I141" t="s">
        <v>2156</v>
      </c>
      <c r="J141" t="s">
        <v>2132</v>
      </c>
      <c r="K141" t="s">
        <v>74</v>
      </c>
      <c r="L141" t="s">
        <v>74</v>
      </c>
      <c r="M141" t="s">
        <v>77</v>
      </c>
      <c r="N141" t="s">
        <v>123</v>
      </c>
      <c r="O141" t="s">
        <v>2133</v>
      </c>
      <c r="P141" t="s">
        <v>2134</v>
      </c>
      <c r="Q141" t="s">
        <v>2135</v>
      </c>
      <c r="R141" t="s">
        <v>74</v>
      </c>
      <c r="S141" t="s">
        <v>74</v>
      </c>
      <c r="T141" t="s">
        <v>2157</v>
      </c>
      <c r="U141" t="s">
        <v>2158</v>
      </c>
      <c r="V141" t="s">
        <v>2159</v>
      </c>
      <c r="W141" t="s">
        <v>1928</v>
      </c>
      <c r="X141" t="s">
        <v>131</v>
      </c>
      <c r="Y141" t="s">
        <v>2160</v>
      </c>
      <c r="Z141" t="s">
        <v>74</v>
      </c>
      <c r="AA141" t="s">
        <v>2161</v>
      </c>
      <c r="AB141" t="s">
        <v>74</v>
      </c>
      <c r="AC141" t="s">
        <v>74</v>
      </c>
      <c r="AD141" t="s">
        <v>74</v>
      </c>
      <c r="AE141" t="s">
        <v>74</v>
      </c>
      <c r="AF141" t="s">
        <v>74</v>
      </c>
      <c r="AG141">
        <v>19</v>
      </c>
      <c r="AH141">
        <v>7</v>
      </c>
      <c r="AI141">
        <v>7</v>
      </c>
      <c r="AJ141">
        <v>0</v>
      </c>
      <c r="AK141">
        <v>2</v>
      </c>
      <c r="AL141" t="s">
        <v>210</v>
      </c>
      <c r="AM141" t="s">
        <v>211</v>
      </c>
      <c r="AN141" t="s">
        <v>212</v>
      </c>
      <c r="AO141" t="s">
        <v>2145</v>
      </c>
      <c r="AP141" t="s">
        <v>74</v>
      </c>
      <c r="AQ141" t="s">
        <v>74</v>
      </c>
      <c r="AR141" t="s">
        <v>2147</v>
      </c>
      <c r="AS141" t="s">
        <v>2148</v>
      </c>
      <c r="AT141" t="s">
        <v>1849</v>
      </c>
      <c r="AU141">
        <v>1999</v>
      </c>
      <c r="AV141">
        <v>22</v>
      </c>
      <c r="AW141" t="s">
        <v>2149</v>
      </c>
      <c r="AX141" t="s">
        <v>74</v>
      </c>
      <c r="AY141" t="s">
        <v>74</v>
      </c>
      <c r="AZ141" t="s">
        <v>74</v>
      </c>
      <c r="BA141" t="s">
        <v>74</v>
      </c>
      <c r="BB141">
        <v>221</v>
      </c>
      <c r="BC141">
        <v>231</v>
      </c>
      <c r="BD141" t="s">
        <v>74</v>
      </c>
      <c r="BE141" t="s">
        <v>2162</v>
      </c>
      <c r="BF141" t="str">
        <f>HYPERLINK("http://dx.doi.org/10.1016/S0921-8181(99)00039-9","http://dx.doi.org/10.1016/S0921-8181(99)00039-9")</f>
        <v>http://dx.doi.org/10.1016/S0921-8181(99)00039-9</v>
      </c>
      <c r="BG141" t="s">
        <v>74</v>
      </c>
      <c r="BH141" t="s">
        <v>74</v>
      </c>
      <c r="BI141">
        <v>11</v>
      </c>
      <c r="BJ141" t="s">
        <v>2151</v>
      </c>
      <c r="BK141" t="s">
        <v>143</v>
      </c>
      <c r="BL141" t="s">
        <v>2152</v>
      </c>
      <c r="BM141" t="s">
        <v>2153</v>
      </c>
      <c r="BN141" t="s">
        <v>74</v>
      </c>
      <c r="BO141" t="s">
        <v>74</v>
      </c>
      <c r="BP141" t="s">
        <v>74</v>
      </c>
      <c r="BQ141" t="s">
        <v>74</v>
      </c>
      <c r="BR141" t="s">
        <v>99</v>
      </c>
      <c r="BS141" t="s">
        <v>2163</v>
      </c>
      <c r="BT141" t="str">
        <f>HYPERLINK("https%3A%2F%2Fwww.webofscience.com%2Fwos%2Fwoscc%2Ffull-record%2FWOS:000084463600020","View Full Record in Web of Science")</f>
        <v>View Full Record in Web of Science</v>
      </c>
    </row>
    <row r="142" spans="1:72" x14ac:dyDescent="0.15">
      <c r="A142" t="s">
        <v>72</v>
      </c>
      <c r="B142" t="s">
        <v>2164</v>
      </c>
      <c r="C142" t="s">
        <v>74</v>
      </c>
      <c r="D142" t="s">
        <v>74</v>
      </c>
      <c r="E142" t="s">
        <v>74</v>
      </c>
      <c r="F142" t="s">
        <v>2164</v>
      </c>
      <c r="G142" t="s">
        <v>74</v>
      </c>
      <c r="H142" t="s">
        <v>74</v>
      </c>
      <c r="I142" t="s">
        <v>2165</v>
      </c>
      <c r="J142" t="s">
        <v>2166</v>
      </c>
      <c r="K142" t="s">
        <v>74</v>
      </c>
      <c r="L142" t="s">
        <v>74</v>
      </c>
      <c r="M142" t="s">
        <v>77</v>
      </c>
      <c r="N142" t="s">
        <v>78</v>
      </c>
      <c r="O142" t="s">
        <v>74</v>
      </c>
      <c r="P142" t="s">
        <v>74</v>
      </c>
      <c r="Q142" t="s">
        <v>74</v>
      </c>
      <c r="R142" t="s">
        <v>74</v>
      </c>
      <c r="S142" t="s">
        <v>74</v>
      </c>
      <c r="T142" t="s">
        <v>2167</v>
      </c>
      <c r="U142" t="s">
        <v>2168</v>
      </c>
      <c r="V142" t="s">
        <v>2169</v>
      </c>
      <c r="W142" t="s">
        <v>151</v>
      </c>
      <c r="X142" t="s">
        <v>131</v>
      </c>
      <c r="Y142" t="s">
        <v>2170</v>
      </c>
      <c r="Z142" t="s">
        <v>74</v>
      </c>
      <c r="AA142" t="s">
        <v>74</v>
      </c>
      <c r="AB142" t="s">
        <v>74</v>
      </c>
      <c r="AC142" t="s">
        <v>74</v>
      </c>
      <c r="AD142" t="s">
        <v>74</v>
      </c>
      <c r="AE142" t="s">
        <v>74</v>
      </c>
      <c r="AF142" t="s">
        <v>74</v>
      </c>
      <c r="AG142">
        <v>38</v>
      </c>
      <c r="AH142">
        <v>7</v>
      </c>
      <c r="AI142">
        <v>11</v>
      </c>
      <c r="AJ142">
        <v>0</v>
      </c>
      <c r="AK142">
        <v>1</v>
      </c>
      <c r="AL142" t="s">
        <v>2171</v>
      </c>
      <c r="AM142" t="s">
        <v>531</v>
      </c>
      <c r="AN142" t="s">
        <v>532</v>
      </c>
      <c r="AO142" t="s">
        <v>2172</v>
      </c>
      <c r="AP142" t="s">
        <v>74</v>
      </c>
      <c r="AQ142" t="s">
        <v>74</v>
      </c>
      <c r="AR142" t="s">
        <v>2173</v>
      </c>
      <c r="AS142" t="s">
        <v>2174</v>
      </c>
      <c r="AT142" t="s">
        <v>1849</v>
      </c>
      <c r="AU142">
        <v>1999</v>
      </c>
      <c r="AV142">
        <v>56</v>
      </c>
      <c r="AW142">
        <v>5</v>
      </c>
      <c r="AX142" t="s">
        <v>74</v>
      </c>
      <c r="AY142" t="s">
        <v>74</v>
      </c>
      <c r="AZ142" t="s">
        <v>74</v>
      </c>
      <c r="BA142" t="s">
        <v>74</v>
      </c>
      <c r="BB142">
        <v>746</v>
      </c>
      <c r="BC142">
        <v>756</v>
      </c>
      <c r="BD142" t="s">
        <v>74</v>
      </c>
      <c r="BE142" t="s">
        <v>2175</v>
      </c>
      <c r="BF142" t="str">
        <f>HYPERLINK("http://dx.doi.org/10.1006/jmsc.1999.0514","http://dx.doi.org/10.1006/jmsc.1999.0514")</f>
        <v>http://dx.doi.org/10.1006/jmsc.1999.0514</v>
      </c>
      <c r="BG142" t="s">
        <v>74</v>
      </c>
      <c r="BH142" t="s">
        <v>74</v>
      </c>
      <c r="BI142">
        <v>11</v>
      </c>
      <c r="BJ142" t="s">
        <v>2176</v>
      </c>
      <c r="BK142" t="s">
        <v>96</v>
      </c>
      <c r="BL142" t="s">
        <v>2176</v>
      </c>
      <c r="BM142" t="s">
        <v>2177</v>
      </c>
      <c r="BN142" t="s">
        <v>74</v>
      </c>
      <c r="BO142" t="s">
        <v>250</v>
      </c>
      <c r="BP142" t="s">
        <v>74</v>
      </c>
      <c r="BQ142" t="s">
        <v>74</v>
      </c>
      <c r="BR142" t="s">
        <v>99</v>
      </c>
      <c r="BS142" t="s">
        <v>2178</v>
      </c>
      <c r="BT142" t="str">
        <f>HYPERLINK("https%3A%2F%2Fwww.webofscience.com%2Fwos%2Fwoscc%2Ffull-record%2FWOS:000083754200016","View Full Record in Web of Science")</f>
        <v>View Full Record in Web of Science</v>
      </c>
    </row>
    <row r="143" spans="1:72" x14ac:dyDescent="0.15">
      <c r="A143" t="s">
        <v>72</v>
      </c>
      <c r="B143" t="s">
        <v>2179</v>
      </c>
      <c r="C143" t="s">
        <v>74</v>
      </c>
      <c r="D143" t="s">
        <v>74</v>
      </c>
      <c r="E143" t="s">
        <v>74</v>
      </c>
      <c r="F143" t="s">
        <v>2179</v>
      </c>
      <c r="G143" t="s">
        <v>74</v>
      </c>
      <c r="H143" t="s">
        <v>74</v>
      </c>
      <c r="I143" t="s">
        <v>2180</v>
      </c>
      <c r="J143" t="s">
        <v>2181</v>
      </c>
      <c r="K143" t="s">
        <v>74</v>
      </c>
      <c r="L143" t="s">
        <v>74</v>
      </c>
      <c r="M143" t="s">
        <v>77</v>
      </c>
      <c r="N143" t="s">
        <v>78</v>
      </c>
      <c r="O143" t="s">
        <v>74</v>
      </c>
      <c r="P143" t="s">
        <v>74</v>
      </c>
      <c r="Q143" t="s">
        <v>74</v>
      </c>
      <c r="R143" t="s">
        <v>74</v>
      </c>
      <c r="S143" t="s">
        <v>74</v>
      </c>
      <c r="T143" t="s">
        <v>2182</v>
      </c>
      <c r="U143" t="s">
        <v>2183</v>
      </c>
      <c r="V143" t="s">
        <v>2184</v>
      </c>
      <c r="W143" t="s">
        <v>2185</v>
      </c>
      <c r="X143" t="s">
        <v>2186</v>
      </c>
      <c r="Y143" t="s">
        <v>2187</v>
      </c>
      <c r="Z143" t="s">
        <v>74</v>
      </c>
      <c r="AA143" t="s">
        <v>2188</v>
      </c>
      <c r="AB143" t="s">
        <v>74</v>
      </c>
      <c r="AC143" t="s">
        <v>74</v>
      </c>
      <c r="AD143" t="s">
        <v>74</v>
      </c>
      <c r="AE143" t="s">
        <v>74</v>
      </c>
      <c r="AF143" t="s">
        <v>74</v>
      </c>
      <c r="AG143">
        <v>22</v>
      </c>
      <c r="AH143">
        <v>26</v>
      </c>
      <c r="AI143">
        <v>26</v>
      </c>
      <c r="AJ143">
        <v>0</v>
      </c>
      <c r="AK143">
        <v>4</v>
      </c>
      <c r="AL143" t="s">
        <v>2189</v>
      </c>
      <c r="AM143" t="s">
        <v>2190</v>
      </c>
      <c r="AN143" t="s">
        <v>2191</v>
      </c>
      <c r="AO143" t="s">
        <v>2192</v>
      </c>
      <c r="AP143" t="s">
        <v>74</v>
      </c>
      <c r="AQ143" t="s">
        <v>74</v>
      </c>
      <c r="AR143" t="s">
        <v>2193</v>
      </c>
      <c r="AS143" t="s">
        <v>2194</v>
      </c>
      <c r="AT143" t="s">
        <v>1849</v>
      </c>
      <c r="AU143">
        <v>1999</v>
      </c>
      <c r="AV143">
        <v>19</v>
      </c>
      <c r="AW143">
        <v>12</v>
      </c>
      <c r="AX143" t="s">
        <v>74</v>
      </c>
      <c r="AY143" t="s">
        <v>74</v>
      </c>
      <c r="AZ143" t="s">
        <v>74</v>
      </c>
      <c r="BA143" t="s">
        <v>74</v>
      </c>
      <c r="BB143">
        <v>1283</v>
      </c>
      <c r="BC143">
        <v>1299</v>
      </c>
      <c r="BD143" t="s">
        <v>74</v>
      </c>
      <c r="BE143" t="s">
        <v>2195</v>
      </c>
      <c r="BF143" t="str">
        <f>HYPERLINK("http://dx.doi.org/10.1002/(SICI)1097-0088(199910)19:12&lt;1283::AID-JOC420&gt;3.0.CO;2-T","http://dx.doi.org/10.1002/(SICI)1097-0088(199910)19:12&lt;1283::AID-JOC420&gt;3.0.CO;2-T")</f>
        <v>http://dx.doi.org/10.1002/(SICI)1097-0088(199910)19:12&lt;1283::AID-JOC420&gt;3.0.CO;2-T</v>
      </c>
      <c r="BG143" t="s">
        <v>74</v>
      </c>
      <c r="BH143" t="s">
        <v>74</v>
      </c>
      <c r="BI143">
        <v>17</v>
      </c>
      <c r="BJ143" t="s">
        <v>95</v>
      </c>
      <c r="BK143" t="s">
        <v>96</v>
      </c>
      <c r="BL143" t="s">
        <v>95</v>
      </c>
      <c r="BM143" t="s">
        <v>2196</v>
      </c>
      <c r="BN143" t="s">
        <v>74</v>
      </c>
      <c r="BO143" t="s">
        <v>74</v>
      </c>
      <c r="BP143" t="s">
        <v>74</v>
      </c>
      <c r="BQ143" t="s">
        <v>74</v>
      </c>
      <c r="BR143" t="s">
        <v>99</v>
      </c>
      <c r="BS143" t="s">
        <v>2197</v>
      </c>
      <c r="BT143" t="str">
        <f>HYPERLINK("https%3A%2F%2Fwww.webofscience.com%2Fwos%2Fwoscc%2Ffull-record%2FWOS:000083173200001","View Full Record in Web of Science")</f>
        <v>View Full Record in Web of Science</v>
      </c>
    </row>
    <row r="144" spans="1:72" x14ac:dyDescent="0.15">
      <c r="A144" t="s">
        <v>72</v>
      </c>
      <c r="B144" t="s">
        <v>2198</v>
      </c>
      <c r="C144" t="s">
        <v>74</v>
      </c>
      <c r="D144" t="s">
        <v>74</v>
      </c>
      <c r="E144" t="s">
        <v>74</v>
      </c>
      <c r="F144" t="s">
        <v>2198</v>
      </c>
      <c r="G144" t="s">
        <v>74</v>
      </c>
      <c r="H144" t="s">
        <v>74</v>
      </c>
      <c r="I144" t="s">
        <v>2199</v>
      </c>
      <c r="J144" t="s">
        <v>2200</v>
      </c>
      <c r="K144" t="s">
        <v>74</v>
      </c>
      <c r="L144" t="s">
        <v>74</v>
      </c>
      <c r="M144" t="s">
        <v>77</v>
      </c>
      <c r="N144" t="s">
        <v>78</v>
      </c>
      <c r="O144" t="s">
        <v>74</v>
      </c>
      <c r="P144" t="s">
        <v>74</v>
      </c>
      <c r="Q144" t="s">
        <v>74</v>
      </c>
      <c r="R144" t="s">
        <v>74</v>
      </c>
      <c r="S144" t="s">
        <v>74</v>
      </c>
      <c r="T144" t="s">
        <v>2201</v>
      </c>
      <c r="U144" t="s">
        <v>2202</v>
      </c>
      <c r="V144" t="s">
        <v>2203</v>
      </c>
      <c r="W144" t="s">
        <v>525</v>
      </c>
      <c r="X144" t="s">
        <v>74</v>
      </c>
      <c r="Y144" t="s">
        <v>2204</v>
      </c>
      <c r="Z144" t="s">
        <v>74</v>
      </c>
      <c r="AA144" t="s">
        <v>528</v>
      </c>
      <c r="AB144" t="s">
        <v>529</v>
      </c>
      <c r="AC144" t="s">
        <v>74</v>
      </c>
      <c r="AD144" t="s">
        <v>74</v>
      </c>
      <c r="AE144" t="s">
        <v>74</v>
      </c>
      <c r="AF144" t="s">
        <v>74</v>
      </c>
      <c r="AG144">
        <v>55</v>
      </c>
      <c r="AH144">
        <v>28</v>
      </c>
      <c r="AI144">
        <v>34</v>
      </c>
      <c r="AJ144">
        <v>0</v>
      </c>
      <c r="AK144">
        <v>28</v>
      </c>
      <c r="AL144" t="s">
        <v>2205</v>
      </c>
      <c r="AM144" t="s">
        <v>2206</v>
      </c>
      <c r="AN144" t="s">
        <v>2207</v>
      </c>
      <c r="AO144" t="s">
        <v>2208</v>
      </c>
      <c r="AP144" t="s">
        <v>74</v>
      </c>
      <c r="AQ144" t="s">
        <v>74</v>
      </c>
      <c r="AR144" t="s">
        <v>2209</v>
      </c>
      <c r="AS144" t="s">
        <v>2210</v>
      </c>
      <c r="AT144" t="s">
        <v>1849</v>
      </c>
      <c r="AU144">
        <v>1999</v>
      </c>
      <c r="AV144">
        <v>140</v>
      </c>
      <c r="AW144">
        <v>4</v>
      </c>
      <c r="AX144" t="s">
        <v>74</v>
      </c>
      <c r="AY144" t="s">
        <v>74</v>
      </c>
      <c r="AZ144" t="s">
        <v>74</v>
      </c>
      <c r="BA144" t="s">
        <v>74</v>
      </c>
      <c r="BB144">
        <v>491</v>
      </c>
      <c r="BC144">
        <v>498</v>
      </c>
      <c r="BD144" t="s">
        <v>74</v>
      </c>
      <c r="BE144" t="s">
        <v>2211</v>
      </c>
      <c r="BF144" t="str">
        <f>HYPERLINK("http://dx.doi.org/10.1007/BF01650993","http://dx.doi.org/10.1007/BF01650993")</f>
        <v>http://dx.doi.org/10.1007/BF01650993</v>
      </c>
      <c r="BG144" t="s">
        <v>74</v>
      </c>
      <c r="BH144" t="s">
        <v>74</v>
      </c>
      <c r="BI144">
        <v>8</v>
      </c>
      <c r="BJ144" t="s">
        <v>2212</v>
      </c>
      <c r="BK144" t="s">
        <v>96</v>
      </c>
      <c r="BL144" t="s">
        <v>142</v>
      </c>
      <c r="BM144" t="s">
        <v>2213</v>
      </c>
      <c r="BN144" t="s">
        <v>74</v>
      </c>
      <c r="BO144" t="s">
        <v>74</v>
      </c>
      <c r="BP144" t="s">
        <v>74</v>
      </c>
      <c r="BQ144" t="s">
        <v>74</v>
      </c>
      <c r="BR144" t="s">
        <v>99</v>
      </c>
      <c r="BS144" t="s">
        <v>2214</v>
      </c>
      <c r="BT144" t="str">
        <f>HYPERLINK("https%3A%2F%2Fwww.webofscience.com%2Fwos%2Fwoscc%2Ffull-record%2FWOS:000084062700009","View Full Record in Web of Science")</f>
        <v>View Full Record in Web of Science</v>
      </c>
    </row>
    <row r="145" spans="1:72" x14ac:dyDescent="0.15">
      <c r="A145" t="s">
        <v>72</v>
      </c>
      <c r="B145" t="s">
        <v>2215</v>
      </c>
      <c r="C145" t="s">
        <v>74</v>
      </c>
      <c r="D145" t="s">
        <v>74</v>
      </c>
      <c r="E145" t="s">
        <v>74</v>
      </c>
      <c r="F145" t="s">
        <v>2215</v>
      </c>
      <c r="G145" t="s">
        <v>74</v>
      </c>
      <c r="H145" t="s">
        <v>74</v>
      </c>
      <c r="I145" t="s">
        <v>2216</v>
      </c>
      <c r="J145" t="s">
        <v>2217</v>
      </c>
      <c r="K145" t="s">
        <v>74</v>
      </c>
      <c r="L145" t="s">
        <v>74</v>
      </c>
      <c r="M145" t="s">
        <v>77</v>
      </c>
      <c r="N145" t="s">
        <v>78</v>
      </c>
      <c r="O145" t="s">
        <v>74</v>
      </c>
      <c r="P145" t="s">
        <v>74</v>
      </c>
      <c r="Q145" t="s">
        <v>74</v>
      </c>
      <c r="R145" t="s">
        <v>74</v>
      </c>
      <c r="S145" t="s">
        <v>74</v>
      </c>
      <c r="T145" t="s">
        <v>74</v>
      </c>
      <c r="U145" t="s">
        <v>2218</v>
      </c>
      <c r="V145" t="s">
        <v>2219</v>
      </c>
      <c r="W145" t="s">
        <v>2220</v>
      </c>
      <c r="X145" t="s">
        <v>2221</v>
      </c>
      <c r="Y145" t="s">
        <v>2222</v>
      </c>
      <c r="Z145" t="s">
        <v>74</v>
      </c>
      <c r="AA145" t="s">
        <v>2223</v>
      </c>
      <c r="AB145" t="s">
        <v>2224</v>
      </c>
      <c r="AC145" t="s">
        <v>74</v>
      </c>
      <c r="AD145" t="s">
        <v>74</v>
      </c>
      <c r="AE145" t="s">
        <v>74</v>
      </c>
      <c r="AF145" t="s">
        <v>74</v>
      </c>
      <c r="AG145">
        <v>37</v>
      </c>
      <c r="AH145">
        <v>19</v>
      </c>
      <c r="AI145">
        <v>23</v>
      </c>
      <c r="AJ145">
        <v>0</v>
      </c>
      <c r="AK145">
        <v>4</v>
      </c>
      <c r="AL145" t="s">
        <v>86</v>
      </c>
      <c r="AM145" t="s">
        <v>87</v>
      </c>
      <c r="AN145" t="s">
        <v>88</v>
      </c>
      <c r="AO145" t="s">
        <v>2225</v>
      </c>
      <c r="AP145" t="s">
        <v>74</v>
      </c>
      <c r="AQ145" t="s">
        <v>74</v>
      </c>
      <c r="AR145" t="s">
        <v>2226</v>
      </c>
      <c r="AS145" t="s">
        <v>2227</v>
      </c>
      <c r="AT145" t="s">
        <v>1849</v>
      </c>
      <c r="AU145">
        <v>1999</v>
      </c>
      <c r="AV145">
        <v>16</v>
      </c>
      <c r="AW145">
        <v>10</v>
      </c>
      <c r="AX145" t="s">
        <v>74</v>
      </c>
      <c r="AY145" t="s">
        <v>74</v>
      </c>
      <c r="AZ145" t="s">
        <v>74</v>
      </c>
      <c r="BA145" t="s">
        <v>74</v>
      </c>
      <c r="BB145">
        <v>1434</v>
      </c>
      <c r="BC145">
        <v>1449</v>
      </c>
      <c r="BD145" t="s">
        <v>74</v>
      </c>
      <c r="BE145" t="s">
        <v>2228</v>
      </c>
      <c r="BF145" t="str">
        <f>HYPERLINK("http://dx.doi.org/10.1175/1520-0426(1999)016&lt;1434:SROION&gt;2.0.CO;2","http://dx.doi.org/10.1175/1520-0426(1999)016&lt;1434:SROION&gt;2.0.CO;2")</f>
        <v>http://dx.doi.org/10.1175/1520-0426(1999)016&lt;1434:SROION&gt;2.0.CO;2</v>
      </c>
      <c r="BG145" t="s">
        <v>74</v>
      </c>
      <c r="BH145" t="s">
        <v>74</v>
      </c>
      <c r="BI145">
        <v>16</v>
      </c>
      <c r="BJ145" t="s">
        <v>2229</v>
      </c>
      <c r="BK145" t="s">
        <v>96</v>
      </c>
      <c r="BL145" t="s">
        <v>2230</v>
      </c>
      <c r="BM145" t="s">
        <v>2231</v>
      </c>
      <c r="BN145" t="s">
        <v>74</v>
      </c>
      <c r="BO145" t="s">
        <v>98</v>
      </c>
      <c r="BP145" t="s">
        <v>74</v>
      </c>
      <c r="BQ145" t="s">
        <v>74</v>
      </c>
      <c r="BR145" t="s">
        <v>99</v>
      </c>
      <c r="BS145" t="s">
        <v>2232</v>
      </c>
      <c r="BT145" t="str">
        <f>HYPERLINK("https%3A%2F%2Fwww.webofscience.com%2Fwos%2Fwoscc%2Ffull-record%2FWOS:000082958500014","View Full Record in Web of Science")</f>
        <v>View Full Record in Web of Science</v>
      </c>
    </row>
    <row r="146" spans="1:72" x14ac:dyDescent="0.15">
      <c r="A146" t="s">
        <v>72</v>
      </c>
      <c r="B146" t="s">
        <v>2233</v>
      </c>
      <c r="C146" t="s">
        <v>74</v>
      </c>
      <c r="D146" t="s">
        <v>74</v>
      </c>
      <c r="E146" t="s">
        <v>74</v>
      </c>
      <c r="F146" t="s">
        <v>2233</v>
      </c>
      <c r="G146" t="s">
        <v>74</v>
      </c>
      <c r="H146" t="s">
        <v>74</v>
      </c>
      <c r="I146" t="s">
        <v>2234</v>
      </c>
      <c r="J146" t="s">
        <v>2235</v>
      </c>
      <c r="K146" t="s">
        <v>74</v>
      </c>
      <c r="L146" t="s">
        <v>74</v>
      </c>
      <c r="M146" t="s">
        <v>77</v>
      </c>
      <c r="N146" t="s">
        <v>78</v>
      </c>
      <c r="O146" t="s">
        <v>74</v>
      </c>
      <c r="P146" t="s">
        <v>74</v>
      </c>
      <c r="Q146" t="s">
        <v>74</v>
      </c>
      <c r="R146" t="s">
        <v>74</v>
      </c>
      <c r="S146" t="s">
        <v>74</v>
      </c>
      <c r="T146" t="s">
        <v>74</v>
      </c>
      <c r="U146" t="s">
        <v>2236</v>
      </c>
      <c r="V146" t="s">
        <v>2237</v>
      </c>
      <c r="W146" t="s">
        <v>2238</v>
      </c>
      <c r="X146" t="s">
        <v>2221</v>
      </c>
      <c r="Y146" t="s">
        <v>2239</v>
      </c>
      <c r="Z146" t="s">
        <v>74</v>
      </c>
      <c r="AA146" t="s">
        <v>2240</v>
      </c>
      <c r="AB146" t="s">
        <v>2241</v>
      </c>
      <c r="AC146" t="s">
        <v>74</v>
      </c>
      <c r="AD146" t="s">
        <v>74</v>
      </c>
      <c r="AE146" t="s">
        <v>74</v>
      </c>
      <c r="AF146" t="s">
        <v>74</v>
      </c>
      <c r="AG146">
        <v>26</v>
      </c>
      <c r="AH146">
        <v>53</v>
      </c>
      <c r="AI146">
        <v>58</v>
      </c>
      <c r="AJ146">
        <v>0</v>
      </c>
      <c r="AK146">
        <v>7</v>
      </c>
      <c r="AL146" t="s">
        <v>86</v>
      </c>
      <c r="AM146" t="s">
        <v>87</v>
      </c>
      <c r="AN146" t="s">
        <v>88</v>
      </c>
      <c r="AO146" t="s">
        <v>2242</v>
      </c>
      <c r="AP146" t="s">
        <v>74</v>
      </c>
      <c r="AQ146" t="s">
        <v>74</v>
      </c>
      <c r="AR146" t="s">
        <v>2243</v>
      </c>
      <c r="AS146" t="s">
        <v>2244</v>
      </c>
      <c r="AT146" t="s">
        <v>1849</v>
      </c>
      <c r="AU146">
        <v>1999</v>
      </c>
      <c r="AV146">
        <v>12</v>
      </c>
      <c r="AW146">
        <v>10</v>
      </c>
      <c r="AX146" t="s">
        <v>74</v>
      </c>
      <c r="AY146" t="s">
        <v>74</v>
      </c>
      <c r="AZ146" t="s">
        <v>74</v>
      </c>
      <c r="BA146" t="s">
        <v>74</v>
      </c>
      <c r="BB146">
        <v>3087</v>
      </c>
      <c r="BC146">
        <v>3104</v>
      </c>
      <c r="BD146" t="s">
        <v>74</v>
      </c>
      <c r="BE146" t="s">
        <v>2245</v>
      </c>
      <c r="BF146" t="str">
        <f>HYPERLINK("http://dx.doi.org/10.1175/1520-0442(1999)012&lt;3087:SMTHLV&gt;2.0.CO;2","http://dx.doi.org/10.1175/1520-0442(1999)012&lt;3087:SMTHLV&gt;2.0.CO;2")</f>
        <v>http://dx.doi.org/10.1175/1520-0442(1999)012&lt;3087:SMTHLV&gt;2.0.CO;2</v>
      </c>
      <c r="BG146" t="s">
        <v>74</v>
      </c>
      <c r="BH146" t="s">
        <v>74</v>
      </c>
      <c r="BI146">
        <v>18</v>
      </c>
      <c r="BJ146" t="s">
        <v>95</v>
      </c>
      <c r="BK146" t="s">
        <v>96</v>
      </c>
      <c r="BL146" t="s">
        <v>95</v>
      </c>
      <c r="BM146" t="s">
        <v>2246</v>
      </c>
      <c r="BN146" t="s">
        <v>74</v>
      </c>
      <c r="BO146" t="s">
        <v>98</v>
      </c>
      <c r="BP146" t="s">
        <v>74</v>
      </c>
      <c r="BQ146" t="s">
        <v>74</v>
      </c>
      <c r="BR146" t="s">
        <v>99</v>
      </c>
      <c r="BS146" t="s">
        <v>2247</v>
      </c>
      <c r="BT146" t="str">
        <f>HYPERLINK("https%3A%2F%2Fwww.webofscience.com%2Fwos%2Fwoscc%2Ffull-record%2FWOS:000083163300009","View Full Record in Web of Science")</f>
        <v>View Full Record in Web of Science</v>
      </c>
    </row>
    <row r="147" spans="1:72" x14ac:dyDescent="0.15">
      <c r="A147" t="s">
        <v>72</v>
      </c>
      <c r="B147" t="s">
        <v>2248</v>
      </c>
      <c r="C147" t="s">
        <v>74</v>
      </c>
      <c r="D147" t="s">
        <v>74</v>
      </c>
      <c r="E147" t="s">
        <v>74</v>
      </c>
      <c r="F147" t="s">
        <v>2248</v>
      </c>
      <c r="G147" t="s">
        <v>74</v>
      </c>
      <c r="H147" t="s">
        <v>74</v>
      </c>
      <c r="I147" t="s">
        <v>2249</v>
      </c>
      <c r="J147" t="s">
        <v>1063</v>
      </c>
      <c r="K147" t="s">
        <v>74</v>
      </c>
      <c r="L147" t="s">
        <v>74</v>
      </c>
      <c r="M147" t="s">
        <v>77</v>
      </c>
      <c r="N147" t="s">
        <v>78</v>
      </c>
      <c r="O147" t="s">
        <v>74</v>
      </c>
      <c r="P147" t="s">
        <v>74</v>
      </c>
      <c r="Q147" t="s">
        <v>74</v>
      </c>
      <c r="R147" t="s">
        <v>74</v>
      </c>
      <c r="S147" t="s">
        <v>74</v>
      </c>
      <c r="T147" t="s">
        <v>74</v>
      </c>
      <c r="U147" t="s">
        <v>2250</v>
      </c>
      <c r="V147" t="s">
        <v>2251</v>
      </c>
      <c r="W147" t="s">
        <v>2252</v>
      </c>
      <c r="X147" t="s">
        <v>2253</v>
      </c>
      <c r="Y147" t="s">
        <v>2254</v>
      </c>
      <c r="Z147" t="s">
        <v>2255</v>
      </c>
      <c r="AA147" t="s">
        <v>2256</v>
      </c>
      <c r="AB147" t="s">
        <v>2257</v>
      </c>
      <c r="AC147" t="s">
        <v>74</v>
      </c>
      <c r="AD147" t="s">
        <v>74</v>
      </c>
      <c r="AE147" t="s">
        <v>74</v>
      </c>
      <c r="AF147" t="s">
        <v>74</v>
      </c>
      <c r="AG147">
        <v>45</v>
      </c>
      <c r="AH147">
        <v>41</v>
      </c>
      <c r="AI147">
        <v>43</v>
      </c>
      <c r="AJ147">
        <v>0</v>
      </c>
      <c r="AK147">
        <v>5</v>
      </c>
      <c r="AL147" t="s">
        <v>230</v>
      </c>
      <c r="AM147" t="s">
        <v>231</v>
      </c>
      <c r="AN147" t="s">
        <v>232</v>
      </c>
      <c r="AO147" t="s">
        <v>1070</v>
      </c>
      <c r="AP147" t="s">
        <v>1071</v>
      </c>
      <c r="AQ147" t="s">
        <v>74</v>
      </c>
      <c r="AR147" t="s">
        <v>1072</v>
      </c>
      <c r="AS147" t="s">
        <v>1073</v>
      </c>
      <c r="AT147" t="s">
        <v>1889</v>
      </c>
      <c r="AU147">
        <v>1999</v>
      </c>
      <c r="AV147">
        <v>104</v>
      </c>
      <c r="AW147" t="s">
        <v>2258</v>
      </c>
      <c r="AX147" t="s">
        <v>74</v>
      </c>
      <c r="AY147" t="s">
        <v>74</v>
      </c>
      <c r="AZ147" t="s">
        <v>74</v>
      </c>
      <c r="BA147" t="s">
        <v>74</v>
      </c>
      <c r="BB147">
        <v>22433</v>
      </c>
      <c r="BC147">
        <v>22451</v>
      </c>
      <c r="BD147" t="s">
        <v>74</v>
      </c>
      <c r="BE147" t="s">
        <v>2259</v>
      </c>
      <c r="BF147" t="str">
        <f>HYPERLINK("http://dx.doi.org/10.1029/1999JA900237","http://dx.doi.org/10.1029/1999JA900237")</f>
        <v>http://dx.doi.org/10.1029/1999JA900237</v>
      </c>
      <c r="BG147" t="s">
        <v>74</v>
      </c>
      <c r="BH147" t="s">
        <v>74</v>
      </c>
      <c r="BI147">
        <v>19</v>
      </c>
      <c r="BJ147" t="s">
        <v>1076</v>
      </c>
      <c r="BK147" t="s">
        <v>96</v>
      </c>
      <c r="BL147" t="s">
        <v>1076</v>
      </c>
      <c r="BM147" t="s">
        <v>2260</v>
      </c>
      <c r="BN147" t="s">
        <v>74</v>
      </c>
      <c r="BO147" t="s">
        <v>74</v>
      </c>
      <c r="BP147" t="s">
        <v>74</v>
      </c>
      <c r="BQ147" t="s">
        <v>74</v>
      </c>
      <c r="BR147" t="s">
        <v>99</v>
      </c>
      <c r="BS147" t="s">
        <v>2261</v>
      </c>
      <c r="BT147" t="str">
        <f>HYPERLINK("https%3A%2F%2Fwww.webofscience.com%2Fwos%2Fwoscc%2Ffull-record%2FWOS:000082855100013","View Full Record in Web of Science")</f>
        <v>View Full Record in Web of Science</v>
      </c>
    </row>
    <row r="148" spans="1:72" x14ac:dyDescent="0.15">
      <c r="A148" t="s">
        <v>72</v>
      </c>
      <c r="B148" t="s">
        <v>2262</v>
      </c>
      <c r="C148" t="s">
        <v>74</v>
      </c>
      <c r="D148" t="s">
        <v>74</v>
      </c>
      <c r="E148" t="s">
        <v>74</v>
      </c>
      <c r="F148" t="s">
        <v>2262</v>
      </c>
      <c r="G148" t="s">
        <v>74</v>
      </c>
      <c r="H148" t="s">
        <v>74</v>
      </c>
      <c r="I148" t="s">
        <v>2263</v>
      </c>
      <c r="J148" t="s">
        <v>1063</v>
      </c>
      <c r="K148" t="s">
        <v>74</v>
      </c>
      <c r="L148" t="s">
        <v>74</v>
      </c>
      <c r="M148" t="s">
        <v>77</v>
      </c>
      <c r="N148" t="s">
        <v>78</v>
      </c>
      <c r="O148" t="s">
        <v>74</v>
      </c>
      <c r="P148" t="s">
        <v>74</v>
      </c>
      <c r="Q148" t="s">
        <v>74</v>
      </c>
      <c r="R148" t="s">
        <v>74</v>
      </c>
      <c r="S148" t="s">
        <v>74</v>
      </c>
      <c r="T148" t="s">
        <v>74</v>
      </c>
      <c r="U148" t="s">
        <v>2264</v>
      </c>
      <c r="V148" t="s">
        <v>2265</v>
      </c>
      <c r="W148" t="s">
        <v>2266</v>
      </c>
      <c r="X148" t="s">
        <v>2267</v>
      </c>
      <c r="Y148" t="s">
        <v>2268</v>
      </c>
      <c r="Z148" t="s">
        <v>2269</v>
      </c>
      <c r="AA148" t="s">
        <v>2270</v>
      </c>
      <c r="AB148" t="s">
        <v>2271</v>
      </c>
      <c r="AC148" t="s">
        <v>74</v>
      </c>
      <c r="AD148" t="s">
        <v>74</v>
      </c>
      <c r="AE148" t="s">
        <v>74</v>
      </c>
      <c r="AF148" t="s">
        <v>74</v>
      </c>
      <c r="AG148">
        <v>39</v>
      </c>
      <c r="AH148">
        <v>14</v>
      </c>
      <c r="AI148">
        <v>14</v>
      </c>
      <c r="AJ148">
        <v>0</v>
      </c>
      <c r="AK148">
        <v>1</v>
      </c>
      <c r="AL148" t="s">
        <v>230</v>
      </c>
      <c r="AM148" t="s">
        <v>231</v>
      </c>
      <c r="AN148" t="s">
        <v>232</v>
      </c>
      <c r="AO148" t="s">
        <v>1070</v>
      </c>
      <c r="AP148" t="s">
        <v>1071</v>
      </c>
      <c r="AQ148" t="s">
        <v>74</v>
      </c>
      <c r="AR148" t="s">
        <v>1072</v>
      </c>
      <c r="AS148" t="s">
        <v>1073</v>
      </c>
      <c r="AT148" t="s">
        <v>1889</v>
      </c>
      <c r="AU148">
        <v>1999</v>
      </c>
      <c r="AV148">
        <v>104</v>
      </c>
      <c r="AW148" t="s">
        <v>2258</v>
      </c>
      <c r="AX148" t="s">
        <v>74</v>
      </c>
      <c r="AY148" t="s">
        <v>74</v>
      </c>
      <c r="AZ148" t="s">
        <v>74</v>
      </c>
      <c r="BA148" t="s">
        <v>74</v>
      </c>
      <c r="BB148">
        <v>22469</v>
      </c>
      <c r="BC148">
        <v>22486</v>
      </c>
      <c r="BD148" t="s">
        <v>74</v>
      </c>
      <c r="BE148" t="s">
        <v>2272</v>
      </c>
      <c r="BF148" t="str">
        <f>HYPERLINK("http://dx.doi.org/10.1029/1999JA900241","http://dx.doi.org/10.1029/1999JA900241")</f>
        <v>http://dx.doi.org/10.1029/1999JA900241</v>
      </c>
      <c r="BG148" t="s">
        <v>74</v>
      </c>
      <c r="BH148" t="s">
        <v>74</v>
      </c>
      <c r="BI148">
        <v>18</v>
      </c>
      <c r="BJ148" t="s">
        <v>1076</v>
      </c>
      <c r="BK148" t="s">
        <v>96</v>
      </c>
      <c r="BL148" t="s">
        <v>1076</v>
      </c>
      <c r="BM148" t="s">
        <v>2260</v>
      </c>
      <c r="BN148" t="s">
        <v>74</v>
      </c>
      <c r="BO148" t="s">
        <v>74</v>
      </c>
      <c r="BP148" t="s">
        <v>74</v>
      </c>
      <c r="BQ148" t="s">
        <v>74</v>
      </c>
      <c r="BR148" t="s">
        <v>99</v>
      </c>
      <c r="BS148" t="s">
        <v>2273</v>
      </c>
      <c r="BT148" t="str">
        <f>HYPERLINK("https%3A%2F%2Fwww.webofscience.com%2Fwos%2Fwoscc%2Ffull-record%2FWOS:000082855100015","View Full Record in Web of Science")</f>
        <v>View Full Record in Web of Science</v>
      </c>
    </row>
    <row r="149" spans="1:72" x14ac:dyDescent="0.15">
      <c r="A149" t="s">
        <v>72</v>
      </c>
      <c r="B149" t="s">
        <v>2274</v>
      </c>
      <c r="C149" t="s">
        <v>74</v>
      </c>
      <c r="D149" t="s">
        <v>74</v>
      </c>
      <c r="E149" t="s">
        <v>74</v>
      </c>
      <c r="F149" t="s">
        <v>2274</v>
      </c>
      <c r="G149" t="s">
        <v>74</v>
      </c>
      <c r="H149" t="s">
        <v>74</v>
      </c>
      <c r="I149" t="s">
        <v>2275</v>
      </c>
      <c r="J149" t="s">
        <v>1063</v>
      </c>
      <c r="K149" t="s">
        <v>74</v>
      </c>
      <c r="L149" t="s">
        <v>74</v>
      </c>
      <c r="M149" t="s">
        <v>77</v>
      </c>
      <c r="N149" t="s">
        <v>78</v>
      </c>
      <c r="O149" t="s">
        <v>74</v>
      </c>
      <c r="P149" t="s">
        <v>74</v>
      </c>
      <c r="Q149" t="s">
        <v>74</v>
      </c>
      <c r="R149" t="s">
        <v>74</v>
      </c>
      <c r="S149" t="s">
        <v>74</v>
      </c>
      <c r="T149" t="s">
        <v>74</v>
      </c>
      <c r="U149" t="s">
        <v>2276</v>
      </c>
      <c r="V149" t="s">
        <v>2277</v>
      </c>
      <c r="W149" t="s">
        <v>2278</v>
      </c>
      <c r="X149" t="s">
        <v>2279</v>
      </c>
      <c r="Y149" t="s">
        <v>2280</v>
      </c>
      <c r="Z149" t="s">
        <v>2281</v>
      </c>
      <c r="AA149" t="s">
        <v>74</v>
      </c>
      <c r="AB149" t="s">
        <v>74</v>
      </c>
      <c r="AC149" t="s">
        <v>74</v>
      </c>
      <c r="AD149" t="s">
        <v>74</v>
      </c>
      <c r="AE149" t="s">
        <v>74</v>
      </c>
      <c r="AF149" t="s">
        <v>74</v>
      </c>
      <c r="AG149">
        <v>34</v>
      </c>
      <c r="AH149">
        <v>6</v>
      </c>
      <c r="AI149">
        <v>6</v>
      </c>
      <c r="AJ149">
        <v>0</v>
      </c>
      <c r="AK149">
        <v>2</v>
      </c>
      <c r="AL149" t="s">
        <v>230</v>
      </c>
      <c r="AM149" t="s">
        <v>231</v>
      </c>
      <c r="AN149" t="s">
        <v>232</v>
      </c>
      <c r="AO149" t="s">
        <v>1070</v>
      </c>
      <c r="AP149" t="s">
        <v>1071</v>
      </c>
      <c r="AQ149" t="s">
        <v>74</v>
      </c>
      <c r="AR149" t="s">
        <v>1072</v>
      </c>
      <c r="AS149" t="s">
        <v>1073</v>
      </c>
      <c r="AT149" t="s">
        <v>1889</v>
      </c>
      <c r="AU149">
        <v>1999</v>
      </c>
      <c r="AV149">
        <v>104</v>
      </c>
      <c r="AW149" t="s">
        <v>2258</v>
      </c>
      <c r="AX149" t="s">
        <v>74</v>
      </c>
      <c r="AY149" t="s">
        <v>74</v>
      </c>
      <c r="AZ149" t="s">
        <v>74</v>
      </c>
      <c r="BA149" t="s">
        <v>74</v>
      </c>
      <c r="BB149">
        <v>22487</v>
      </c>
      <c r="BC149">
        <v>22498</v>
      </c>
      <c r="BD149" t="s">
        <v>74</v>
      </c>
      <c r="BE149" t="s">
        <v>2282</v>
      </c>
      <c r="BF149" t="str">
        <f>HYPERLINK("http://dx.doi.org/10.1029/1999JA900178","http://dx.doi.org/10.1029/1999JA900178")</f>
        <v>http://dx.doi.org/10.1029/1999JA900178</v>
      </c>
      <c r="BG149" t="s">
        <v>74</v>
      </c>
      <c r="BH149" t="s">
        <v>74</v>
      </c>
      <c r="BI149">
        <v>12</v>
      </c>
      <c r="BJ149" t="s">
        <v>1076</v>
      </c>
      <c r="BK149" t="s">
        <v>96</v>
      </c>
      <c r="BL149" t="s">
        <v>1076</v>
      </c>
      <c r="BM149" t="s">
        <v>2260</v>
      </c>
      <c r="BN149" t="s">
        <v>74</v>
      </c>
      <c r="BO149" t="s">
        <v>250</v>
      </c>
      <c r="BP149" t="s">
        <v>74</v>
      </c>
      <c r="BQ149" t="s">
        <v>74</v>
      </c>
      <c r="BR149" t="s">
        <v>99</v>
      </c>
      <c r="BS149" t="s">
        <v>2283</v>
      </c>
      <c r="BT149" t="str">
        <f>HYPERLINK("https%3A%2F%2Fwww.webofscience.com%2Fwos%2Fwoscc%2Ffull-record%2FWOS:000082855100016","View Full Record in Web of Science")</f>
        <v>View Full Record in Web of Science</v>
      </c>
    </row>
    <row r="150" spans="1:72" x14ac:dyDescent="0.15">
      <c r="A150" t="s">
        <v>72</v>
      </c>
      <c r="B150" t="s">
        <v>2284</v>
      </c>
      <c r="C150" t="s">
        <v>74</v>
      </c>
      <c r="D150" t="s">
        <v>74</v>
      </c>
      <c r="E150" t="s">
        <v>74</v>
      </c>
      <c r="F150" t="s">
        <v>2284</v>
      </c>
      <c r="G150" t="s">
        <v>74</v>
      </c>
      <c r="H150" t="s">
        <v>74</v>
      </c>
      <c r="I150" t="s">
        <v>2285</v>
      </c>
      <c r="J150" t="s">
        <v>1063</v>
      </c>
      <c r="K150" t="s">
        <v>74</v>
      </c>
      <c r="L150" t="s">
        <v>74</v>
      </c>
      <c r="M150" t="s">
        <v>77</v>
      </c>
      <c r="N150" t="s">
        <v>78</v>
      </c>
      <c r="O150" t="s">
        <v>74</v>
      </c>
      <c r="P150" t="s">
        <v>74</v>
      </c>
      <c r="Q150" t="s">
        <v>74</v>
      </c>
      <c r="R150" t="s">
        <v>74</v>
      </c>
      <c r="S150" t="s">
        <v>74</v>
      </c>
      <c r="T150" t="s">
        <v>74</v>
      </c>
      <c r="U150" t="s">
        <v>2286</v>
      </c>
      <c r="V150" t="s">
        <v>2287</v>
      </c>
      <c r="W150" t="s">
        <v>2288</v>
      </c>
      <c r="X150" t="s">
        <v>2289</v>
      </c>
      <c r="Y150" t="s">
        <v>2290</v>
      </c>
      <c r="Z150" t="s">
        <v>2291</v>
      </c>
      <c r="AA150" t="s">
        <v>2292</v>
      </c>
      <c r="AB150" t="s">
        <v>2293</v>
      </c>
      <c r="AC150" t="s">
        <v>74</v>
      </c>
      <c r="AD150" t="s">
        <v>74</v>
      </c>
      <c r="AE150" t="s">
        <v>74</v>
      </c>
      <c r="AF150" t="s">
        <v>74</v>
      </c>
      <c r="AG150">
        <v>41</v>
      </c>
      <c r="AH150">
        <v>21</v>
      </c>
      <c r="AI150">
        <v>21</v>
      </c>
      <c r="AJ150">
        <v>0</v>
      </c>
      <c r="AK150">
        <v>0</v>
      </c>
      <c r="AL150" t="s">
        <v>230</v>
      </c>
      <c r="AM150" t="s">
        <v>231</v>
      </c>
      <c r="AN150" t="s">
        <v>232</v>
      </c>
      <c r="AO150" t="s">
        <v>1070</v>
      </c>
      <c r="AP150" t="s">
        <v>1071</v>
      </c>
      <c r="AQ150" t="s">
        <v>74</v>
      </c>
      <c r="AR150" t="s">
        <v>1072</v>
      </c>
      <c r="AS150" t="s">
        <v>1073</v>
      </c>
      <c r="AT150" t="s">
        <v>1889</v>
      </c>
      <c r="AU150">
        <v>1999</v>
      </c>
      <c r="AV150">
        <v>104</v>
      </c>
      <c r="AW150" t="s">
        <v>2258</v>
      </c>
      <c r="AX150" t="s">
        <v>74</v>
      </c>
      <c r="AY150" t="s">
        <v>74</v>
      </c>
      <c r="AZ150" t="s">
        <v>74</v>
      </c>
      <c r="BA150" t="s">
        <v>74</v>
      </c>
      <c r="BB150">
        <v>22729</v>
      </c>
      <c r="BC150">
        <v>22744</v>
      </c>
      <c r="BD150" t="s">
        <v>74</v>
      </c>
      <c r="BE150" t="s">
        <v>2294</v>
      </c>
      <c r="BF150" t="str">
        <f>HYPERLINK("http://dx.doi.org/10.1029/1999JA900204","http://dx.doi.org/10.1029/1999JA900204")</f>
        <v>http://dx.doi.org/10.1029/1999JA900204</v>
      </c>
      <c r="BG150" t="s">
        <v>74</v>
      </c>
      <c r="BH150" t="s">
        <v>74</v>
      </c>
      <c r="BI150">
        <v>16</v>
      </c>
      <c r="BJ150" t="s">
        <v>1076</v>
      </c>
      <c r="BK150" t="s">
        <v>96</v>
      </c>
      <c r="BL150" t="s">
        <v>1076</v>
      </c>
      <c r="BM150" t="s">
        <v>2260</v>
      </c>
      <c r="BN150" t="s">
        <v>74</v>
      </c>
      <c r="BO150" t="s">
        <v>250</v>
      </c>
      <c r="BP150" t="s">
        <v>74</v>
      </c>
      <c r="BQ150" t="s">
        <v>74</v>
      </c>
      <c r="BR150" t="s">
        <v>99</v>
      </c>
      <c r="BS150" t="s">
        <v>2295</v>
      </c>
      <c r="BT150" t="str">
        <f>HYPERLINK("https%3A%2F%2Fwww.webofscience.com%2Fwos%2Fwoscc%2Ffull-record%2FWOS:000082855100037","View Full Record in Web of Science")</f>
        <v>View Full Record in Web of Science</v>
      </c>
    </row>
    <row r="151" spans="1:72" x14ac:dyDescent="0.15">
      <c r="A151" t="s">
        <v>72</v>
      </c>
      <c r="B151" t="s">
        <v>1719</v>
      </c>
      <c r="C151" t="s">
        <v>74</v>
      </c>
      <c r="D151" t="s">
        <v>74</v>
      </c>
      <c r="E151" t="s">
        <v>74</v>
      </c>
      <c r="F151" t="s">
        <v>1719</v>
      </c>
      <c r="G151" t="s">
        <v>74</v>
      </c>
      <c r="H151" t="s">
        <v>74</v>
      </c>
      <c r="I151" t="s">
        <v>2296</v>
      </c>
      <c r="J151" t="s">
        <v>1100</v>
      </c>
      <c r="K151" t="s">
        <v>74</v>
      </c>
      <c r="L151" t="s">
        <v>74</v>
      </c>
      <c r="M151" t="s">
        <v>77</v>
      </c>
      <c r="N151" t="s">
        <v>78</v>
      </c>
      <c r="O151" t="s">
        <v>74</v>
      </c>
      <c r="P151" t="s">
        <v>74</v>
      </c>
      <c r="Q151" t="s">
        <v>74</v>
      </c>
      <c r="R151" t="s">
        <v>74</v>
      </c>
      <c r="S151" t="s">
        <v>74</v>
      </c>
      <c r="T151" t="s">
        <v>74</v>
      </c>
      <c r="U151" t="s">
        <v>2297</v>
      </c>
      <c r="V151" t="s">
        <v>2298</v>
      </c>
      <c r="W151" t="s">
        <v>2299</v>
      </c>
      <c r="X151" t="s">
        <v>1724</v>
      </c>
      <c r="Y151" t="s">
        <v>2300</v>
      </c>
      <c r="Z151" t="s">
        <v>2301</v>
      </c>
      <c r="AA151" t="s">
        <v>74</v>
      </c>
      <c r="AB151" t="s">
        <v>74</v>
      </c>
      <c r="AC151" t="s">
        <v>74</v>
      </c>
      <c r="AD151" t="s">
        <v>74</v>
      </c>
      <c r="AE151" t="s">
        <v>74</v>
      </c>
      <c r="AF151" t="s">
        <v>74</v>
      </c>
      <c r="AG151">
        <v>33</v>
      </c>
      <c r="AH151">
        <v>37</v>
      </c>
      <c r="AI151">
        <v>38</v>
      </c>
      <c r="AJ151">
        <v>0</v>
      </c>
      <c r="AK151">
        <v>3</v>
      </c>
      <c r="AL151" t="s">
        <v>86</v>
      </c>
      <c r="AM151" t="s">
        <v>87</v>
      </c>
      <c r="AN151" t="s">
        <v>88</v>
      </c>
      <c r="AO151" t="s">
        <v>1106</v>
      </c>
      <c r="AP151" t="s">
        <v>2302</v>
      </c>
      <c r="AQ151" t="s">
        <v>74</v>
      </c>
      <c r="AR151" t="s">
        <v>1107</v>
      </c>
      <c r="AS151" t="s">
        <v>1108</v>
      </c>
      <c r="AT151" t="s">
        <v>1849</v>
      </c>
      <c r="AU151">
        <v>1999</v>
      </c>
      <c r="AV151">
        <v>29</v>
      </c>
      <c r="AW151">
        <v>10</v>
      </c>
      <c r="AX151" t="s">
        <v>74</v>
      </c>
      <c r="AY151" t="s">
        <v>74</v>
      </c>
      <c r="AZ151" t="s">
        <v>74</v>
      </c>
      <c r="BA151" t="s">
        <v>74</v>
      </c>
      <c r="BB151">
        <v>2730</v>
      </c>
      <c r="BC151">
        <v>2740</v>
      </c>
      <c r="BD151" t="s">
        <v>74</v>
      </c>
      <c r="BE151" t="s">
        <v>2303</v>
      </c>
      <c r="BF151" t="str">
        <f>HYPERLINK("http://dx.doi.org/10.1175/1520-0485(1999)029&lt;2730:SOAGOG&gt;2.0.CO;2","http://dx.doi.org/10.1175/1520-0485(1999)029&lt;2730:SOAGOG&gt;2.0.CO;2")</f>
        <v>http://dx.doi.org/10.1175/1520-0485(1999)029&lt;2730:SOAGOG&gt;2.0.CO;2</v>
      </c>
      <c r="BG151" t="s">
        <v>74</v>
      </c>
      <c r="BH151" t="s">
        <v>74</v>
      </c>
      <c r="BI151">
        <v>11</v>
      </c>
      <c r="BJ151" t="s">
        <v>416</v>
      </c>
      <c r="BK151" t="s">
        <v>96</v>
      </c>
      <c r="BL151" t="s">
        <v>416</v>
      </c>
      <c r="BM151" t="s">
        <v>2304</v>
      </c>
      <c r="BN151" t="s">
        <v>74</v>
      </c>
      <c r="BO151" t="s">
        <v>98</v>
      </c>
      <c r="BP151" t="s">
        <v>74</v>
      </c>
      <c r="BQ151" t="s">
        <v>74</v>
      </c>
      <c r="BR151" t="s">
        <v>99</v>
      </c>
      <c r="BS151" t="s">
        <v>2305</v>
      </c>
      <c r="BT151" t="str">
        <f>HYPERLINK("https%3A%2F%2Fwww.webofscience.com%2Fwos%2Fwoscc%2Ffull-record%2FWOS:000083382500016","View Full Record in Web of Science")</f>
        <v>View Full Record in Web of Science</v>
      </c>
    </row>
    <row r="152" spans="1:72" x14ac:dyDescent="0.15">
      <c r="A152" t="s">
        <v>72</v>
      </c>
      <c r="B152" t="s">
        <v>2306</v>
      </c>
      <c r="C152" t="s">
        <v>74</v>
      </c>
      <c r="D152" t="s">
        <v>74</v>
      </c>
      <c r="E152" t="s">
        <v>74</v>
      </c>
      <c r="F152" t="s">
        <v>2306</v>
      </c>
      <c r="G152" t="s">
        <v>74</v>
      </c>
      <c r="H152" t="s">
        <v>74</v>
      </c>
      <c r="I152" t="s">
        <v>2307</v>
      </c>
      <c r="J152" t="s">
        <v>1218</v>
      </c>
      <c r="K152" t="s">
        <v>74</v>
      </c>
      <c r="L152" t="s">
        <v>74</v>
      </c>
      <c r="M152" t="s">
        <v>77</v>
      </c>
      <c r="N152" t="s">
        <v>78</v>
      </c>
      <c r="O152" t="s">
        <v>74</v>
      </c>
      <c r="P152" t="s">
        <v>74</v>
      </c>
      <c r="Q152" t="s">
        <v>74</v>
      </c>
      <c r="R152" t="s">
        <v>74</v>
      </c>
      <c r="S152" t="s">
        <v>74</v>
      </c>
      <c r="T152" t="s">
        <v>74</v>
      </c>
      <c r="U152" t="s">
        <v>2308</v>
      </c>
      <c r="V152" t="s">
        <v>2309</v>
      </c>
      <c r="W152" t="s">
        <v>1928</v>
      </c>
      <c r="X152" t="s">
        <v>131</v>
      </c>
      <c r="Y152" t="s">
        <v>2310</v>
      </c>
      <c r="Z152" t="s">
        <v>74</v>
      </c>
      <c r="AA152" t="s">
        <v>2311</v>
      </c>
      <c r="AB152" t="s">
        <v>2312</v>
      </c>
      <c r="AC152" t="s">
        <v>74</v>
      </c>
      <c r="AD152" t="s">
        <v>74</v>
      </c>
      <c r="AE152" t="s">
        <v>74</v>
      </c>
      <c r="AF152" t="s">
        <v>74</v>
      </c>
      <c r="AG152">
        <v>35</v>
      </c>
      <c r="AH152">
        <v>5</v>
      </c>
      <c r="AI152">
        <v>5</v>
      </c>
      <c r="AJ152">
        <v>0</v>
      </c>
      <c r="AK152">
        <v>7</v>
      </c>
      <c r="AL152" t="s">
        <v>553</v>
      </c>
      <c r="AM152" t="s">
        <v>554</v>
      </c>
      <c r="AN152" t="s">
        <v>555</v>
      </c>
      <c r="AO152" t="s">
        <v>1225</v>
      </c>
      <c r="AP152" t="s">
        <v>74</v>
      </c>
      <c r="AQ152" t="s">
        <v>74</v>
      </c>
      <c r="AR152" t="s">
        <v>1226</v>
      </c>
      <c r="AS152" t="s">
        <v>1227</v>
      </c>
      <c r="AT152" t="s">
        <v>1849</v>
      </c>
      <c r="AU152">
        <v>1999</v>
      </c>
      <c r="AV152">
        <v>135</v>
      </c>
      <c r="AW152">
        <v>1</v>
      </c>
      <c r="AX152" t="s">
        <v>74</v>
      </c>
      <c r="AY152" t="s">
        <v>74</v>
      </c>
      <c r="AZ152" t="s">
        <v>74</v>
      </c>
      <c r="BA152" t="s">
        <v>74</v>
      </c>
      <c r="BB152">
        <v>77</v>
      </c>
      <c r="BC152">
        <v>82</v>
      </c>
      <c r="BD152" t="s">
        <v>74</v>
      </c>
      <c r="BE152" t="s">
        <v>2313</v>
      </c>
      <c r="BF152" t="str">
        <f>HYPERLINK("http://dx.doi.org/10.1007/s002270050603","http://dx.doi.org/10.1007/s002270050603")</f>
        <v>http://dx.doi.org/10.1007/s002270050603</v>
      </c>
      <c r="BG152" t="s">
        <v>74</v>
      </c>
      <c r="BH152" t="s">
        <v>74</v>
      </c>
      <c r="BI152">
        <v>6</v>
      </c>
      <c r="BJ152" t="s">
        <v>1229</v>
      </c>
      <c r="BK152" t="s">
        <v>96</v>
      </c>
      <c r="BL152" t="s">
        <v>1229</v>
      </c>
      <c r="BM152" t="s">
        <v>2314</v>
      </c>
      <c r="BN152" t="s">
        <v>74</v>
      </c>
      <c r="BO152" t="s">
        <v>74</v>
      </c>
      <c r="BP152" t="s">
        <v>74</v>
      </c>
      <c r="BQ152" t="s">
        <v>74</v>
      </c>
      <c r="BR152" t="s">
        <v>99</v>
      </c>
      <c r="BS152" t="s">
        <v>2315</v>
      </c>
      <c r="BT152" t="str">
        <f>HYPERLINK("https%3A%2F%2Fwww.webofscience.com%2Fwos%2Fwoscc%2Ffull-record%2FWOS:000083306400009","View Full Record in Web of Science")</f>
        <v>View Full Record in Web of Science</v>
      </c>
    </row>
    <row r="153" spans="1:72" x14ac:dyDescent="0.15">
      <c r="A153" t="s">
        <v>72</v>
      </c>
      <c r="B153" t="s">
        <v>2316</v>
      </c>
      <c r="C153" t="s">
        <v>74</v>
      </c>
      <c r="D153" t="s">
        <v>74</v>
      </c>
      <c r="E153" t="s">
        <v>74</v>
      </c>
      <c r="F153" t="s">
        <v>2316</v>
      </c>
      <c r="G153" t="s">
        <v>74</v>
      </c>
      <c r="H153" t="s">
        <v>74</v>
      </c>
      <c r="I153" t="s">
        <v>2317</v>
      </c>
      <c r="J153" t="s">
        <v>2318</v>
      </c>
      <c r="K153" t="s">
        <v>74</v>
      </c>
      <c r="L153" t="s">
        <v>74</v>
      </c>
      <c r="M153" t="s">
        <v>77</v>
      </c>
      <c r="N153" t="s">
        <v>78</v>
      </c>
      <c r="O153" t="s">
        <v>74</v>
      </c>
      <c r="P153" t="s">
        <v>74</v>
      </c>
      <c r="Q153" t="s">
        <v>74</v>
      </c>
      <c r="R153" t="s">
        <v>74</v>
      </c>
      <c r="S153" t="s">
        <v>74</v>
      </c>
      <c r="T153" t="s">
        <v>2319</v>
      </c>
      <c r="U153" t="s">
        <v>2320</v>
      </c>
      <c r="V153" t="s">
        <v>2321</v>
      </c>
      <c r="W153" t="s">
        <v>2322</v>
      </c>
      <c r="X153" t="s">
        <v>2323</v>
      </c>
      <c r="Y153" t="s">
        <v>2324</v>
      </c>
      <c r="Z153" t="s">
        <v>2325</v>
      </c>
      <c r="AA153" t="s">
        <v>74</v>
      </c>
      <c r="AB153" t="s">
        <v>74</v>
      </c>
      <c r="AC153" t="s">
        <v>74</v>
      </c>
      <c r="AD153" t="s">
        <v>74</v>
      </c>
      <c r="AE153" t="s">
        <v>74</v>
      </c>
      <c r="AF153" t="s">
        <v>74</v>
      </c>
      <c r="AG153">
        <v>90</v>
      </c>
      <c r="AH153">
        <v>72</v>
      </c>
      <c r="AI153">
        <v>82</v>
      </c>
      <c r="AJ153">
        <v>0</v>
      </c>
      <c r="AK153">
        <v>41</v>
      </c>
      <c r="AL153" t="s">
        <v>210</v>
      </c>
      <c r="AM153" t="s">
        <v>211</v>
      </c>
      <c r="AN153" t="s">
        <v>212</v>
      </c>
      <c r="AO153" t="s">
        <v>2326</v>
      </c>
      <c r="AP153" t="s">
        <v>2327</v>
      </c>
      <c r="AQ153" t="s">
        <v>74</v>
      </c>
      <c r="AR153" t="s">
        <v>2328</v>
      </c>
      <c r="AS153" t="s">
        <v>2329</v>
      </c>
      <c r="AT153" t="s">
        <v>1849</v>
      </c>
      <c r="AU153">
        <v>1999</v>
      </c>
      <c r="AV153">
        <v>67</v>
      </c>
      <c r="AW153" t="s">
        <v>1614</v>
      </c>
      <c r="AX153" t="s">
        <v>74</v>
      </c>
      <c r="AY153" t="s">
        <v>74</v>
      </c>
      <c r="AZ153" t="s">
        <v>74</v>
      </c>
      <c r="BA153" t="s">
        <v>74</v>
      </c>
      <c r="BB153">
        <v>67</v>
      </c>
      <c r="BC153">
        <v>102</v>
      </c>
      <c r="BD153" t="s">
        <v>74</v>
      </c>
      <c r="BE153" t="s">
        <v>2330</v>
      </c>
      <c r="BF153" t="str">
        <f>HYPERLINK("http://dx.doi.org/10.1016/S0304-4203(99)00050-X","http://dx.doi.org/10.1016/S0304-4203(99)00050-X")</f>
        <v>http://dx.doi.org/10.1016/S0304-4203(99)00050-X</v>
      </c>
      <c r="BG153" t="s">
        <v>74</v>
      </c>
      <c r="BH153" t="s">
        <v>74</v>
      </c>
      <c r="BI153">
        <v>36</v>
      </c>
      <c r="BJ153" t="s">
        <v>2331</v>
      </c>
      <c r="BK153" t="s">
        <v>96</v>
      </c>
      <c r="BL153" t="s">
        <v>2332</v>
      </c>
      <c r="BM153" t="s">
        <v>2333</v>
      </c>
      <c r="BN153" t="s">
        <v>74</v>
      </c>
      <c r="BO153" t="s">
        <v>74</v>
      </c>
      <c r="BP153" t="s">
        <v>74</v>
      </c>
      <c r="BQ153" t="s">
        <v>74</v>
      </c>
      <c r="BR153" t="s">
        <v>99</v>
      </c>
      <c r="BS153" t="s">
        <v>2334</v>
      </c>
      <c r="BT153" t="str">
        <f>HYPERLINK("https%3A%2F%2Fwww.webofscience.com%2Fwos%2Fwoscc%2Ffull-record%2FWOS:000082709500006","View Full Record in Web of Science")</f>
        <v>View Full Record in Web of Science</v>
      </c>
    </row>
    <row r="154" spans="1:72" x14ac:dyDescent="0.15">
      <c r="A154" t="s">
        <v>72</v>
      </c>
      <c r="B154" t="s">
        <v>2335</v>
      </c>
      <c r="C154" t="s">
        <v>74</v>
      </c>
      <c r="D154" t="s">
        <v>74</v>
      </c>
      <c r="E154" t="s">
        <v>74</v>
      </c>
      <c r="F154" t="s">
        <v>2335</v>
      </c>
      <c r="G154" t="s">
        <v>74</v>
      </c>
      <c r="H154" t="s">
        <v>2336</v>
      </c>
      <c r="I154" t="s">
        <v>2337</v>
      </c>
      <c r="J154" t="s">
        <v>2338</v>
      </c>
      <c r="K154" t="s">
        <v>74</v>
      </c>
      <c r="L154" t="s">
        <v>74</v>
      </c>
      <c r="M154" t="s">
        <v>77</v>
      </c>
      <c r="N154" t="s">
        <v>2339</v>
      </c>
      <c r="O154" t="s">
        <v>74</v>
      </c>
      <c r="P154" t="s">
        <v>74</v>
      </c>
      <c r="Q154" t="s">
        <v>74</v>
      </c>
      <c r="R154" t="s">
        <v>74</v>
      </c>
      <c r="S154" t="s">
        <v>74</v>
      </c>
      <c r="T154" t="s">
        <v>2340</v>
      </c>
      <c r="U154" t="s">
        <v>2341</v>
      </c>
      <c r="V154" t="s">
        <v>2342</v>
      </c>
      <c r="W154" t="s">
        <v>2343</v>
      </c>
      <c r="X154" t="s">
        <v>2344</v>
      </c>
      <c r="Y154" t="s">
        <v>2345</v>
      </c>
      <c r="Z154" t="s">
        <v>2346</v>
      </c>
      <c r="AA154" t="s">
        <v>2347</v>
      </c>
      <c r="AB154" t="s">
        <v>2348</v>
      </c>
      <c r="AC154" t="s">
        <v>74</v>
      </c>
      <c r="AD154" t="s">
        <v>74</v>
      </c>
      <c r="AE154" t="s">
        <v>74</v>
      </c>
      <c r="AF154" t="s">
        <v>74</v>
      </c>
      <c r="AG154">
        <v>39</v>
      </c>
      <c r="AH154">
        <v>50</v>
      </c>
      <c r="AI154">
        <v>53</v>
      </c>
      <c r="AJ154">
        <v>0</v>
      </c>
      <c r="AK154">
        <v>11</v>
      </c>
      <c r="AL154" t="s">
        <v>210</v>
      </c>
      <c r="AM154" t="s">
        <v>211</v>
      </c>
      <c r="AN154" t="s">
        <v>212</v>
      </c>
      <c r="AO154" t="s">
        <v>2349</v>
      </c>
      <c r="AP154" t="s">
        <v>2350</v>
      </c>
      <c r="AQ154" t="s">
        <v>74</v>
      </c>
      <c r="AR154" t="s">
        <v>2351</v>
      </c>
      <c r="AS154" t="s">
        <v>2352</v>
      </c>
      <c r="AT154" t="s">
        <v>1849</v>
      </c>
      <c r="AU154">
        <v>1999</v>
      </c>
      <c r="AV154">
        <v>161</v>
      </c>
      <c r="AW154" t="s">
        <v>2353</v>
      </c>
      <c r="AX154" t="s">
        <v>74</v>
      </c>
      <c r="AY154" t="s">
        <v>74</v>
      </c>
      <c r="AZ154" t="s">
        <v>74</v>
      </c>
      <c r="BA154" t="s">
        <v>74</v>
      </c>
      <c r="BB154">
        <v>93</v>
      </c>
      <c r="BC154">
        <v>114</v>
      </c>
      <c r="BD154" t="s">
        <v>74</v>
      </c>
      <c r="BE154" t="s">
        <v>2354</v>
      </c>
      <c r="BF154" t="str">
        <f>HYPERLINK("http://dx.doi.org/10.1016/S0025-3227(99)00081-X","http://dx.doi.org/10.1016/S0025-3227(99)00081-X")</f>
        <v>http://dx.doi.org/10.1016/S0025-3227(99)00081-X</v>
      </c>
      <c r="BG154" t="s">
        <v>74</v>
      </c>
      <c r="BH154" t="s">
        <v>74</v>
      </c>
      <c r="BI154">
        <v>22</v>
      </c>
      <c r="BJ154" t="s">
        <v>2355</v>
      </c>
      <c r="BK154" t="s">
        <v>96</v>
      </c>
      <c r="BL154" t="s">
        <v>2356</v>
      </c>
      <c r="BM154" t="s">
        <v>2357</v>
      </c>
      <c r="BN154" t="s">
        <v>74</v>
      </c>
      <c r="BO154" t="s">
        <v>74</v>
      </c>
      <c r="BP154" t="s">
        <v>74</v>
      </c>
      <c r="BQ154" t="s">
        <v>74</v>
      </c>
      <c r="BR154" t="s">
        <v>99</v>
      </c>
      <c r="BS154" t="s">
        <v>2358</v>
      </c>
      <c r="BT154" t="str">
        <f>HYPERLINK("https%3A%2F%2Fwww.webofscience.com%2Fwos%2Fwoscc%2Ffull-record%2FWOS:000083784300001","View Full Record in Web of Science")</f>
        <v>View Full Record in Web of Science</v>
      </c>
    </row>
    <row r="155" spans="1:72" x14ac:dyDescent="0.15">
      <c r="A155" t="s">
        <v>72</v>
      </c>
      <c r="B155" t="s">
        <v>2359</v>
      </c>
      <c r="C155" t="s">
        <v>74</v>
      </c>
      <c r="D155" t="s">
        <v>74</v>
      </c>
      <c r="E155" t="s">
        <v>74</v>
      </c>
      <c r="F155" t="s">
        <v>2359</v>
      </c>
      <c r="G155" t="s">
        <v>74</v>
      </c>
      <c r="H155" t="s">
        <v>74</v>
      </c>
      <c r="I155" t="s">
        <v>2360</v>
      </c>
      <c r="J155" t="s">
        <v>2361</v>
      </c>
      <c r="K155" t="s">
        <v>74</v>
      </c>
      <c r="L155" t="s">
        <v>74</v>
      </c>
      <c r="M155" t="s">
        <v>77</v>
      </c>
      <c r="N155" t="s">
        <v>78</v>
      </c>
      <c r="O155" t="s">
        <v>74</v>
      </c>
      <c r="P155" t="s">
        <v>74</v>
      </c>
      <c r="Q155" t="s">
        <v>74</v>
      </c>
      <c r="R155" t="s">
        <v>74</v>
      </c>
      <c r="S155" t="s">
        <v>74</v>
      </c>
      <c r="T155" t="s">
        <v>2362</v>
      </c>
      <c r="U155" t="s">
        <v>2363</v>
      </c>
      <c r="V155" t="s">
        <v>2364</v>
      </c>
      <c r="W155" t="s">
        <v>2365</v>
      </c>
      <c r="X155" t="s">
        <v>2366</v>
      </c>
      <c r="Y155" t="s">
        <v>2367</v>
      </c>
      <c r="Z155" t="s">
        <v>74</v>
      </c>
      <c r="AA155" t="s">
        <v>74</v>
      </c>
      <c r="AB155" t="s">
        <v>74</v>
      </c>
      <c r="AC155" t="s">
        <v>74</v>
      </c>
      <c r="AD155" t="s">
        <v>74</v>
      </c>
      <c r="AE155" t="s">
        <v>74</v>
      </c>
      <c r="AF155" t="s">
        <v>74</v>
      </c>
      <c r="AG155">
        <v>79</v>
      </c>
      <c r="AH155">
        <v>30</v>
      </c>
      <c r="AI155">
        <v>35</v>
      </c>
      <c r="AJ155">
        <v>2</v>
      </c>
      <c r="AK155">
        <v>47</v>
      </c>
      <c r="AL155" t="s">
        <v>2368</v>
      </c>
      <c r="AM155" t="s">
        <v>2369</v>
      </c>
      <c r="AN155" t="s">
        <v>2370</v>
      </c>
      <c r="AO155" t="s">
        <v>2371</v>
      </c>
      <c r="AP155" t="s">
        <v>74</v>
      </c>
      <c r="AQ155" t="s">
        <v>74</v>
      </c>
      <c r="AR155" t="s">
        <v>2372</v>
      </c>
      <c r="AS155" t="s">
        <v>2373</v>
      </c>
      <c r="AT155" t="s">
        <v>2374</v>
      </c>
      <c r="AU155">
        <v>1999</v>
      </c>
      <c r="AV155">
        <v>17</v>
      </c>
      <c r="AW155">
        <v>4</v>
      </c>
      <c r="AX155" t="s">
        <v>74</v>
      </c>
      <c r="AY155" t="s">
        <v>74</v>
      </c>
      <c r="AZ155" t="s">
        <v>74</v>
      </c>
      <c r="BA155" t="s">
        <v>74</v>
      </c>
      <c r="BB155">
        <v>307</v>
      </c>
      <c r="BC155">
        <v>356</v>
      </c>
      <c r="BD155" t="s">
        <v>74</v>
      </c>
      <c r="BE155" t="s">
        <v>2375</v>
      </c>
      <c r="BF155" t="str">
        <f>HYPERLINK("http://dx.doi.org/10.1080/106411999273666","http://dx.doi.org/10.1080/106411999273666")</f>
        <v>http://dx.doi.org/10.1080/106411999273666</v>
      </c>
      <c r="BG155" t="s">
        <v>74</v>
      </c>
      <c r="BH155" t="s">
        <v>74</v>
      </c>
      <c r="BI155">
        <v>50</v>
      </c>
      <c r="BJ155" t="s">
        <v>2376</v>
      </c>
      <c r="BK155" t="s">
        <v>96</v>
      </c>
      <c r="BL155" t="s">
        <v>2377</v>
      </c>
      <c r="BM155" t="s">
        <v>2378</v>
      </c>
      <c r="BN155" t="s">
        <v>74</v>
      </c>
      <c r="BO155" t="s">
        <v>74</v>
      </c>
      <c r="BP155" t="s">
        <v>74</v>
      </c>
      <c r="BQ155" t="s">
        <v>74</v>
      </c>
      <c r="BR155" t="s">
        <v>99</v>
      </c>
      <c r="BS155" t="s">
        <v>2379</v>
      </c>
      <c r="BT155" t="str">
        <f>HYPERLINK("https%3A%2F%2Fwww.webofscience.com%2Fwos%2Fwoscc%2Ffull-record%2FWOS:000084538300001","View Full Record in Web of Science")</f>
        <v>View Full Record in Web of Science</v>
      </c>
    </row>
    <row r="156" spans="1:72" x14ac:dyDescent="0.15">
      <c r="A156" t="s">
        <v>72</v>
      </c>
      <c r="B156" t="s">
        <v>2380</v>
      </c>
      <c r="C156" t="s">
        <v>74</v>
      </c>
      <c r="D156" t="s">
        <v>74</v>
      </c>
      <c r="E156" t="s">
        <v>74</v>
      </c>
      <c r="F156" t="s">
        <v>2380</v>
      </c>
      <c r="G156" t="s">
        <v>74</v>
      </c>
      <c r="H156" t="s">
        <v>74</v>
      </c>
      <c r="I156" t="s">
        <v>2381</v>
      </c>
      <c r="J156" t="s">
        <v>2382</v>
      </c>
      <c r="K156" t="s">
        <v>74</v>
      </c>
      <c r="L156" t="s">
        <v>74</v>
      </c>
      <c r="M156" t="s">
        <v>77</v>
      </c>
      <c r="N156" t="s">
        <v>78</v>
      </c>
      <c r="O156" t="s">
        <v>74</v>
      </c>
      <c r="P156" t="s">
        <v>74</v>
      </c>
      <c r="Q156" t="s">
        <v>74</v>
      </c>
      <c r="R156" t="s">
        <v>74</v>
      </c>
      <c r="S156" t="s">
        <v>74</v>
      </c>
      <c r="T156" t="s">
        <v>2383</v>
      </c>
      <c r="U156" t="s">
        <v>2384</v>
      </c>
      <c r="V156" t="s">
        <v>2385</v>
      </c>
      <c r="W156" t="s">
        <v>2386</v>
      </c>
      <c r="X156" t="s">
        <v>2387</v>
      </c>
      <c r="Y156" t="s">
        <v>2388</v>
      </c>
      <c r="Z156" t="s">
        <v>74</v>
      </c>
      <c r="AA156" t="s">
        <v>2389</v>
      </c>
      <c r="AB156" t="s">
        <v>2390</v>
      </c>
      <c r="AC156" t="s">
        <v>74</v>
      </c>
      <c r="AD156" t="s">
        <v>74</v>
      </c>
      <c r="AE156" t="s">
        <v>74</v>
      </c>
      <c r="AF156" t="s">
        <v>74</v>
      </c>
      <c r="AG156">
        <v>38</v>
      </c>
      <c r="AH156">
        <v>48</v>
      </c>
      <c r="AI156">
        <v>60</v>
      </c>
      <c r="AJ156">
        <v>0</v>
      </c>
      <c r="AK156">
        <v>10</v>
      </c>
      <c r="AL156" t="s">
        <v>2391</v>
      </c>
      <c r="AM156" t="s">
        <v>2392</v>
      </c>
      <c r="AN156" t="s">
        <v>2393</v>
      </c>
      <c r="AO156" t="s">
        <v>2394</v>
      </c>
      <c r="AP156" t="s">
        <v>74</v>
      </c>
      <c r="AQ156" t="s">
        <v>74</v>
      </c>
      <c r="AR156" t="s">
        <v>2395</v>
      </c>
      <c r="AS156" t="s">
        <v>2396</v>
      </c>
      <c r="AT156" t="s">
        <v>1849</v>
      </c>
      <c r="AU156">
        <v>1999</v>
      </c>
      <c r="AV156">
        <v>15</v>
      </c>
      <c r="AW156">
        <v>4</v>
      </c>
      <c r="AX156" t="s">
        <v>74</v>
      </c>
      <c r="AY156" t="s">
        <v>74</v>
      </c>
      <c r="AZ156" t="s">
        <v>74</v>
      </c>
      <c r="BA156" t="s">
        <v>74</v>
      </c>
      <c r="BB156">
        <v>1287</v>
      </c>
      <c r="BC156">
        <v>1302</v>
      </c>
      <c r="BD156" t="s">
        <v>74</v>
      </c>
      <c r="BE156" t="s">
        <v>2397</v>
      </c>
      <c r="BF156" t="str">
        <f>HYPERLINK("http://dx.doi.org/10.1111/j.1748-7692.1999.tb00891.x","http://dx.doi.org/10.1111/j.1748-7692.1999.tb00891.x")</f>
        <v>http://dx.doi.org/10.1111/j.1748-7692.1999.tb00891.x</v>
      </c>
      <c r="BG156" t="s">
        <v>74</v>
      </c>
      <c r="BH156" t="s">
        <v>74</v>
      </c>
      <c r="BI156">
        <v>16</v>
      </c>
      <c r="BJ156" t="s">
        <v>2398</v>
      </c>
      <c r="BK156" t="s">
        <v>96</v>
      </c>
      <c r="BL156" t="s">
        <v>2398</v>
      </c>
      <c r="BM156" t="s">
        <v>2399</v>
      </c>
      <c r="BN156" t="s">
        <v>74</v>
      </c>
      <c r="BO156" t="s">
        <v>74</v>
      </c>
      <c r="BP156" t="s">
        <v>74</v>
      </c>
      <c r="BQ156" t="s">
        <v>74</v>
      </c>
      <c r="BR156" t="s">
        <v>99</v>
      </c>
      <c r="BS156" t="s">
        <v>2400</v>
      </c>
      <c r="BT156" t="str">
        <f>HYPERLINK("https%3A%2F%2Fwww.webofscience.com%2Fwos%2Fwoscc%2Ffull-record%2FWOS:000083402100034","View Full Record in Web of Science")</f>
        <v>View Full Record in Web of Science</v>
      </c>
    </row>
    <row r="157" spans="1:72" x14ac:dyDescent="0.15">
      <c r="A157" t="s">
        <v>72</v>
      </c>
      <c r="B157" t="s">
        <v>2401</v>
      </c>
      <c r="C157" t="s">
        <v>74</v>
      </c>
      <c r="D157" t="s">
        <v>74</v>
      </c>
      <c r="E157" t="s">
        <v>74</v>
      </c>
      <c r="F157" t="s">
        <v>2401</v>
      </c>
      <c r="G157" t="s">
        <v>74</v>
      </c>
      <c r="H157" t="s">
        <v>74</v>
      </c>
      <c r="I157" t="s">
        <v>2402</v>
      </c>
      <c r="J157" t="s">
        <v>2382</v>
      </c>
      <c r="K157" t="s">
        <v>74</v>
      </c>
      <c r="L157" t="s">
        <v>74</v>
      </c>
      <c r="M157" t="s">
        <v>77</v>
      </c>
      <c r="N157" t="s">
        <v>78</v>
      </c>
      <c r="O157" t="s">
        <v>74</v>
      </c>
      <c r="P157" t="s">
        <v>74</v>
      </c>
      <c r="Q157" t="s">
        <v>74</v>
      </c>
      <c r="R157" t="s">
        <v>74</v>
      </c>
      <c r="S157" t="s">
        <v>74</v>
      </c>
      <c r="T157" t="s">
        <v>74</v>
      </c>
      <c r="U157" t="s">
        <v>74</v>
      </c>
      <c r="V157" t="s">
        <v>74</v>
      </c>
      <c r="W157" t="s">
        <v>2403</v>
      </c>
      <c r="X157" t="s">
        <v>2404</v>
      </c>
      <c r="Y157" t="s">
        <v>2405</v>
      </c>
      <c r="Z157" t="s">
        <v>74</v>
      </c>
      <c r="AA157" t="s">
        <v>74</v>
      </c>
      <c r="AB157" t="s">
        <v>74</v>
      </c>
      <c r="AC157" t="s">
        <v>74</v>
      </c>
      <c r="AD157" t="s">
        <v>74</v>
      </c>
      <c r="AE157" t="s">
        <v>74</v>
      </c>
      <c r="AF157" t="s">
        <v>74</v>
      </c>
      <c r="AG157">
        <v>16</v>
      </c>
      <c r="AH157">
        <v>21</v>
      </c>
      <c r="AI157">
        <v>21</v>
      </c>
      <c r="AJ157">
        <v>0</v>
      </c>
      <c r="AK157">
        <v>12</v>
      </c>
      <c r="AL157" t="s">
        <v>2391</v>
      </c>
      <c r="AM157" t="s">
        <v>2392</v>
      </c>
      <c r="AN157" t="s">
        <v>2393</v>
      </c>
      <c r="AO157" t="s">
        <v>2394</v>
      </c>
      <c r="AP157" t="s">
        <v>74</v>
      </c>
      <c r="AQ157" t="s">
        <v>74</v>
      </c>
      <c r="AR157" t="s">
        <v>2395</v>
      </c>
      <c r="AS157" t="s">
        <v>2396</v>
      </c>
      <c r="AT157" t="s">
        <v>1849</v>
      </c>
      <c r="AU157">
        <v>1999</v>
      </c>
      <c r="AV157">
        <v>15</v>
      </c>
      <c r="AW157">
        <v>4</v>
      </c>
      <c r="AX157" t="s">
        <v>74</v>
      </c>
      <c r="AY157" t="s">
        <v>74</v>
      </c>
      <c r="AZ157" t="s">
        <v>74</v>
      </c>
      <c r="BA157" t="s">
        <v>74</v>
      </c>
      <c r="BB157">
        <v>1337</v>
      </c>
      <c r="BC157">
        <v>1342</v>
      </c>
      <c r="BD157" t="s">
        <v>74</v>
      </c>
      <c r="BE157" t="s">
        <v>2406</v>
      </c>
      <c r="BF157" t="str">
        <f>HYPERLINK("http://dx.doi.org/10.1111/j.1748-7692.1999.tb00895.x","http://dx.doi.org/10.1111/j.1748-7692.1999.tb00895.x")</f>
        <v>http://dx.doi.org/10.1111/j.1748-7692.1999.tb00895.x</v>
      </c>
      <c r="BG157" t="s">
        <v>74</v>
      </c>
      <c r="BH157" t="s">
        <v>74</v>
      </c>
      <c r="BI157">
        <v>6</v>
      </c>
      <c r="BJ157" t="s">
        <v>2398</v>
      </c>
      <c r="BK157" t="s">
        <v>96</v>
      </c>
      <c r="BL157" t="s">
        <v>2398</v>
      </c>
      <c r="BM157" t="s">
        <v>2399</v>
      </c>
      <c r="BN157" t="s">
        <v>74</v>
      </c>
      <c r="BO157" t="s">
        <v>74</v>
      </c>
      <c r="BP157" t="s">
        <v>74</v>
      </c>
      <c r="BQ157" t="s">
        <v>74</v>
      </c>
      <c r="BR157" t="s">
        <v>99</v>
      </c>
      <c r="BS157" t="s">
        <v>2407</v>
      </c>
      <c r="BT157" t="str">
        <f>HYPERLINK("https%3A%2F%2Fwww.webofscience.com%2Fwos%2Fwoscc%2Ffull-record%2FWOS:000083402100038","View Full Record in Web of Science")</f>
        <v>View Full Record in Web of Science</v>
      </c>
    </row>
    <row r="158" spans="1:72" x14ac:dyDescent="0.15">
      <c r="A158" t="s">
        <v>72</v>
      </c>
      <c r="B158" t="s">
        <v>2408</v>
      </c>
      <c r="C158" t="s">
        <v>74</v>
      </c>
      <c r="D158" t="s">
        <v>74</v>
      </c>
      <c r="E158" t="s">
        <v>74</v>
      </c>
      <c r="F158" t="s">
        <v>2408</v>
      </c>
      <c r="G158" t="s">
        <v>74</v>
      </c>
      <c r="H158" t="s">
        <v>74</v>
      </c>
      <c r="I158" t="s">
        <v>2409</v>
      </c>
      <c r="J158" t="s">
        <v>2382</v>
      </c>
      <c r="K158" t="s">
        <v>74</v>
      </c>
      <c r="L158" t="s">
        <v>74</v>
      </c>
      <c r="M158" t="s">
        <v>77</v>
      </c>
      <c r="N158" t="s">
        <v>78</v>
      </c>
      <c r="O158" t="s">
        <v>74</v>
      </c>
      <c r="P158" t="s">
        <v>74</v>
      </c>
      <c r="Q158" t="s">
        <v>74</v>
      </c>
      <c r="R158" t="s">
        <v>74</v>
      </c>
      <c r="S158" t="s">
        <v>74</v>
      </c>
      <c r="T158" t="s">
        <v>74</v>
      </c>
      <c r="U158" t="s">
        <v>2410</v>
      </c>
      <c r="V158" t="s">
        <v>74</v>
      </c>
      <c r="W158" t="s">
        <v>2411</v>
      </c>
      <c r="X158" t="s">
        <v>2412</v>
      </c>
      <c r="Y158" t="s">
        <v>2413</v>
      </c>
      <c r="Z158" t="s">
        <v>74</v>
      </c>
      <c r="AA158" t="s">
        <v>74</v>
      </c>
      <c r="AB158" t="s">
        <v>74</v>
      </c>
      <c r="AC158" t="s">
        <v>74</v>
      </c>
      <c r="AD158" t="s">
        <v>74</v>
      </c>
      <c r="AE158" t="s">
        <v>74</v>
      </c>
      <c r="AF158" t="s">
        <v>74</v>
      </c>
      <c r="AG158">
        <v>13</v>
      </c>
      <c r="AH158">
        <v>14</v>
      </c>
      <c r="AI158">
        <v>19</v>
      </c>
      <c r="AJ158">
        <v>3</v>
      </c>
      <c r="AK158">
        <v>22</v>
      </c>
      <c r="AL158" t="s">
        <v>2391</v>
      </c>
      <c r="AM158" t="s">
        <v>2392</v>
      </c>
      <c r="AN158" t="s">
        <v>2393</v>
      </c>
      <c r="AO158" t="s">
        <v>2394</v>
      </c>
      <c r="AP158" t="s">
        <v>74</v>
      </c>
      <c r="AQ158" t="s">
        <v>74</v>
      </c>
      <c r="AR158" t="s">
        <v>2395</v>
      </c>
      <c r="AS158" t="s">
        <v>2396</v>
      </c>
      <c r="AT158" t="s">
        <v>1849</v>
      </c>
      <c r="AU158">
        <v>1999</v>
      </c>
      <c r="AV158">
        <v>15</v>
      </c>
      <c r="AW158">
        <v>4</v>
      </c>
      <c r="AX158" t="s">
        <v>74</v>
      </c>
      <c r="AY158" t="s">
        <v>74</v>
      </c>
      <c r="AZ158" t="s">
        <v>74</v>
      </c>
      <c r="BA158" t="s">
        <v>74</v>
      </c>
      <c r="BB158">
        <v>1351</v>
      </c>
      <c r="BC158">
        <v>1357</v>
      </c>
      <c r="BD158" t="s">
        <v>74</v>
      </c>
      <c r="BE158" t="s">
        <v>2414</v>
      </c>
      <c r="BF158" t="str">
        <f>HYPERLINK("http://dx.doi.org/10.1111/j.1748-7692.1999.tb00897.x","http://dx.doi.org/10.1111/j.1748-7692.1999.tb00897.x")</f>
        <v>http://dx.doi.org/10.1111/j.1748-7692.1999.tb00897.x</v>
      </c>
      <c r="BG158" t="s">
        <v>74</v>
      </c>
      <c r="BH158" t="s">
        <v>74</v>
      </c>
      <c r="BI158">
        <v>7</v>
      </c>
      <c r="BJ158" t="s">
        <v>2398</v>
      </c>
      <c r="BK158" t="s">
        <v>96</v>
      </c>
      <c r="BL158" t="s">
        <v>2398</v>
      </c>
      <c r="BM158" t="s">
        <v>2399</v>
      </c>
      <c r="BN158" t="s">
        <v>74</v>
      </c>
      <c r="BO158" t="s">
        <v>74</v>
      </c>
      <c r="BP158" t="s">
        <v>74</v>
      </c>
      <c r="BQ158" t="s">
        <v>74</v>
      </c>
      <c r="BR158" t="s">
        <v>99</v>
      </c>
      <c r="BS158" t="s">
        <v>2415</v>
      </c>
      <c r="BT158" t="str">
        <f>HYPERLINK("https%3A%2F%2Fwww.webofscience.com%2Fwos%2Fwoscc%2Ffull-record%2FWOS:000083402100040","View Full Record in Web of Science")</f>
        <v>View Full Record in Web of Science</v>
      </c>
    </row>
    <row r="159" spans="1:72" x14ac:dyDescent="0.15">
      <c r="A159" t="s">
        <v>72</v>
      </c>
      <c r="B159" t="s">
        <v>2416</v>
      </c>
      <c r="C159" t="s">
        <v>74</v>
      </c>
      <c r="D159" t="s">
        <v>74</v>
      </c>
      <c r="E159" t="s">
        <v>74</v>
      </c>
      <c r="F159" t="s">
        <v>2416</v>
      </c>
      <c r="G159" t="s">
        <v>74</v>
      </c>
      <c r="H159" t="s">
        <v>74</v>
      </c>
      <c r="I159" t="s">
        <v>2417</v>
      </c>
      <c r="J159" t="s">
        <v>2418</v>
      </c>
      <c r="K159" t="s">
        <v>74</v>
      </c>
      <c r="L159" t="s">
        <v>74</v>
      </c>
      <c r="M159" t="s">
        <v>77</v>
      </c>
      <c r="N159" t="s">
        <v>78</v>
      </c>
      <c r="O159" t="s">
        <v>74</v>
      </c>
      <c r="P159" t="s">
        <v>74</v>
      </c>
      <c r="Q159" t="s">
        <v>74</v>
      </c>
      <c r="R159" t="s">
        <v>74</v>
      </c>
      <c r="S159" t="s">
        <v>74</v>
      </c>
      <c r="T159" t="s">
        <v>2419</v>
      </c>
      <c r="U159" t="s">
        <v>2420</v>
      </c>
      <c r="V159" t="s">
        <v>2421</v>
      </c>
      <c r="W159" t="s">
        <v>2422</v>
      </c>
      <c r="X159" t="s">
        <v>74</v>
      </c>
      <c r="Y159" t="s">
        <v>2423</v>
      </c>
      <c r="Z159" t="s">
        <v>74</v>
      </c>
      <c r="AA159" t="s">
        <v>2424</v>
      </c>
      <c r="AB159" t="s">
        <v>2425</v>
      </c>
      <c r="AC159" t="s">
        <v>74</v>
      </c>
      <c r="AD159" t="s">
        <v>74</v>
      </c>
      <c r="AE159" t="s">
        <v>74</v>
      </c>
      <c r="AF159" t="s">
        <v>74</v>
      </c>
      <c r="AG159">
        <v>24</v>
      </c>
      <c r="AH159">
        <v>18</v>
      </c>
      <c r="AI159">
        <v>22</v>
      </c>
      <c r="AJ159">
        <v>0</v>
      </c>
      <c r="AK159">
        <v>0</v>
      </c>
      <c r="AL159" t="s">
        <v>2426</v>
      </c>
      <c r="AM159" t="s">
        <v>2427</v>
      </c>
      <c r="AN159" t="s">
        <v>2428</v>
      </c>
      <c r="AO159" t="s">
        <v>2429</v>
      </c>
      <c r="AP159" t="s">
        <v>74</v>
      </c>
      <c r="AQ159" t="s">
        <v>74</v>
      </c>
      <c r="AR159" t="s">
        <v>2418</v>
      </c>
      <c r="AS159" t="s">
        <v>2430</v>
      </c>
      <c r="AT159" t="s">
        <v>1849</v>
      </c>
      <c r="AU159">
        <v>1999</v>
      </c>
      <c r="AV159">
        <v>22</v>
      </c>
      <c r="AW159">
        <v>4</v>
      </c>
      <c r="AX159" t="s">
        <v>74</v>
      </c>
      <c r="AY159" t="s">
        <v>74</v>
      </c>
      <c r="AZ159" t="s">
        <v>74</v>
      </c>
      <c r="BA159" t="s">
        <v>74</v>
      </c>
      <c r="BB159">
        <v>357</v>
      </c>
      <c r="BC159">
        <v>363</v>
      </c>
      <c r="BD159" t="s">
        <v>74</v>
      </c>
      <c r="BE159" t="s">
        <v>74</v>
      </c>
      <c r="BF159" t="s">
        <v>74</v>
      </c>
      <c r="BG159" t="s">
        <v>74</v>
      </c>
      <c r="BH159" t="s">
        <v>74</v>
      </c>
      <c r="BI159">
        <v>7</v>
      </c>
      <c r="BJ159" t="s">
        <v>2075</v>
      </c>
      <c r="BK159" t="s">
        <v>96</v>
      </c>
      <c r="BL159" t="s">
        <v>2075</v>
      </c>
      <c r="BM159" t="s">
        <v>2431</v>
      </c>
      <c r="BN159">
        <v>10555207</v>
      </c>
      <c r="BO159" t="s">
        <v>74</v>
      </c>
      <c r="BP159" t="s">
        <v>74</v>
      </c>
      <c r="BQ159" t="s">
        <v>74</v>
      </c>
      <c r="BR159" t="s">
        <v>99</v>
      </c>
      <c r="BS159" t="s">
        <v>2432</v>
      </c>
      <c r="BT159" t="str">
        <f>HYPERLINK("https%3A%2F%2Fwww.webofscience.com%2Fwos%2Fwoscc%2Ffull-record%2FWOS:000083352200011","View Full Record in Web of Science")</f>
        <v>View Full Record in Web of Science</v>
      </c>
    </row>
    <row r="160" spans="1:72" x14ac:dyDescent="0.15">
      <c r="A160" t="s">
        <v>72</v>
      </c>
      <c r="B160" t="s">
        <v>2433</v>
      </c>
      <c r="C160" t="s">
        <v>74</v>
      </c>
      <c r="D160" t="s">
        <v>74</v>
      </c>
      <c r="E160" t="s">
        <v>74</v>
      </c>
      <c r="F160" t="s">
        <v>2433</v>
      </c>
      <c r="G160" t="s">
        <v>74</v>
      </c>
      <c r="H160" t="s">
        <v>74</v>
      </c>
      <c r="I160" t="s">
        <v>2434</v>
      </c>
      <c r="J160" t="s">
        <v>2435</v>
      </c>
      <c r="K160" t="s">
        <v>74</v>
      </c>
      <c r="L160" t="s">
        <v>74</v>
      </c>
      <c r="M160" t="s">
        <v>77</v>
      </c>
      <c r="N160" t="s">
        <v>78</v>
      </c>
      <c r="O160" t="s">
        <v>74</v>
      </c>
      <c r="P160" t="s">
        <v>74</v>
      </c>
      <c r="Q160" t="s">
        <v>74</v>
      </c>
      <c r="R160" t="s">
        <v>74</v>
      </c>
      <c r="S160" t="s">
        <v>74</v>
      </c>
      <c r="T160" t="s">
        <v>2436</v>
      </c>
      <c r="U160" t="s">
        <v>2437</v>
      </c>
      <c r="V160" t="s">
        <v>2438</v>
      </c>
      <c r="W160" t="s">
        <v>2439</v>
      </c>
      <c r="X160" t="s">
        <v>2440</v>
      </c>
      <c r="Y160" t="s">
        <v>2441</v>
      </c>
      <c r="Z160" t="s">
        <v>74</v>
      </c>
      <c r="AA160" t="s">
        <v>2442</v>
      </c>
      <c r="AB160" t="s">
        <v>2443</v>
      </c>
      <c r="AC160" t="s">
        <v>74</v>
      </c>
      <c r="AD160" t="s">
        <v>74</v>
      </c>
      <c r="AE160" t="s">
        <v>74</v>
      </c>
      <c r="AF160" t="s">
        <v>74</v>
      </c>
      <c r="AG160">
        <v>60</v>
      </c>
      <c r="AH160">
        <v>32</v>
      </c>
      <c r="AI160">
        <v>32</v>
      </c>
      <c r="AJ160">
        <v>0</v>
      </c>
      <c r="AK160">
        <v>20</v>
      </c>
      <c r="AL160" t="s">
        <v>2444</v>
      </c>
      <c r="AM160" t="s">
        <v>531</v>
      </c>
      <c r="AN160" t="s">
        <v>2445</v>
      </c>
      <c r="AO160" t="s">
        <v>2446</v>
      </c>
      <c r="AP160" t="s">
        <v>74</v>
      </c>
      <c r="AQ160" t="s">
        <v>74</v>
      </c>
      <c r="AR160" t="s">
        <v>2447</v>
      </c>
      <c r="AS160" t="s">
        <v>2448</v>
      </c>
      <c r="AT160" t="s">
        <v>1849</v>
      </c>
      <c r="AU160">
        <v>1999</v>
      </c>
      <c r="AV160">
        <v>63</v>
      </c>
      <c r="AW160">
        <v>5</v>
      </c>
      <c r="AX160" t="s">
        <v>74</v>
      </c>
      <c r="AY160" t="s">
        <v>74</v>
      </c>
      <c r="AZ160" t="s">
        <v>74</v>
      </c>
      <c r="BA160" t="s">
        <v>74</v>
      </c>
      <c r="BB160">
        <v>615</v>
      </c>
      <c r="BC160">
        <v>631</v>
      </c>
      <c r="BD160" t="s">
        <v>74</v>
      </c>
      <c r="BE160" t="s">
        <v>2449</v>
      </c>
      <c r="BF160" t="str">
        <f>HYPERLINK("http://dx.doi.org/10.1180/002646199548736","http://dx.doi.org/10.1180/002646199548736")</f>
        <v>http://dx.doi.org/10.1180/002646199548736</v>
      </c>
      <c r="BG160" t="s">
        <v>74</v>
      </c>
      <c r="BH160" t="s">
        <v>74</v>
      </c>
      <c r="BI160">
        <v>17</v>
      </c>
      <c r="BJ160" t="s">
        <v>2450</v>
      </c>
      <c r="BK160" t="s">
        <v>96</v>
      </c>
      <c r="BL160" t="s">
        <v>2450</v>
      </c>
      <c r="BM160" t="s">
        <v>2451</v>
      </c>
      <c r="BN160" t="s">
        <v>74</v>
      </c>
      <c r="BO160" t="s">
        <v>74</v>
      </c>
      <c r="BP160" t="s">
        <v>74</v>
      </c>
      <c r="BQ160" t="s">
        <v>74</v>
      </c>
      <c r="BR160" t="s">
        <v>99</v>
      </c>
      <c r="BS160" t="s">
        <v>2452</v>
      </c>
      <c r="BT160" t="str">
        <f>HYPERLINK("https%3A%2F%2Fwww.webofscience.com%2Fwos%2Fwoscc%2Ffull-record%2FWOS:000083056000001","View Full Record in Web of Science")</f>
        <v>View Full Record in Web of Science</v>
      </c>
    </row>
    <row r="161" spans="1:72" x14ac:dyDescent="0.15">
      <c r="A161" t="s">
        <v>72</v>
      </c>
      <c r="B161" t="s">
        <v>2453</v>
      </c>
      <c r="C161" t="s">
        <v>74</v>
      </c>
      <c r="D161" t="s">
        <v>74</v>
      </c>
      <c r="E161" t="s">
        <v>74</v>
      </c>
      <c r="F161" t="s">
        <v>2453</v>
      </c>
      <c r="G161" t="s">
        <v>74</v>
      </c>
      <c r="H161" t="s">
        <v>74</v>
      </c>
      <c r="I161" t="s">
        <v>2454</v>
      </c>
      <c r="J161" t="s">
        <v>2455</v>
      </c>
      <c r="K161" t="s">
        <v>74</v>
      </c>
      <c r="L161" t="s">
        <v>74</v>
      </c>
      <c r="M161" t="s">
        <v>77</v>
      </c>
      <c r="N161" t="s">
        <v>78</v>
      </c>
      <c r="O161" t="s">
        <v>74</v>
      </c>
      <c r="P161" t="s">
        <v>74</v>
      </c>
      <c r="Q161" t="s">
        <v>74</v>
      </c>
      <c r="R161" t="s">
        <v>74</v>
      </c>
      <c r="S161" t="s">
        <v>74</v>
      </c>
      <c r="T161" t="s">
        <v>74</v>
      </c>
      <c r="U161" t="s">
        <v>2456</v>
      </c>
      <c r="V161" t="s">
        <v>2457</v>
      </c>
      <c r="W161" t="s">
        <v>2458</v>
      </c>
      <c r="X161" t="s">
        <v>2459</v>
      </c>
      <c r="Y161" t="s">
        <v>2460</v>
      </c>
      <c r="Z161" t="s">
        <v>2461</v>
      </c>
      <c r="AA161" t="s">
        <v>2462</v>
      </c>
      <c r="AB161" t="s">
        <v>2463</v>
      </c>
      <c r="AC161" t="s">
        <v>74</v>
      </c>
      <c r="AD161" t="s">
        <v>74</v>
      </c>
      <c r="AE161" t="s">
        <v>74</v>
      </c>
      <c r="AF161" t="s">
        <v>74</v>
      </c>
      <c r="AG161">
        <v>38</v>
      </c>
      <c r="AH161">
        <v>105</v>
      </c>
      <c r="AI161">
        <v>114</v>
      </c>
      <c r="AJ161">
        <v>0</v>
      </c>
      <c r="AK161">
        <v>8</v>
      </c>
      <c r="AL161" t="s">
        <v>86</v>
      </c>
      <c r="AM161" t="s">
        <v>87</v>
      </c>
      <c r="AN161" t="s">
        <v>88</v>
      </c>
      <c r="AO161" t="s">
        <v>2464</v>
      </c>
      <c r="AP161" t="s">
        <v>2465</v>
      </c>
      <c r="AQ161" t="s">
        <v>74</v>
      </c>
      <c r="AR161" t="s">
        <v>2466</v>
      </c>
      <c r="AS161" t="s">
        <v>2467</v>
      </c>
      <c r="AT161" t="s">
        <v>1849</v>
      </c>
      <c r="AU161">
        <v>1999</v>
      </c>
      <c r="AV161">
        <v>127</v>
      </c>
      <c r="AW161">
        <v>10</v>
      </c>
      <c r="AX161" t="s">
        <v>74</v>
      </c>
      <c r="AY161" t="s">
        <v>74</v>
      </c>
      <c r="AZ161" t="s">
        <v>74</v>
      </c>
      <c r="BA161" t="s">
        <v>74</v>
      </c>
      <c r="BB161">
        <v>2379</v>
      </c>
      <c r="BC161">
        <v>2394</v>
      </c>
      <c r="BD161" t="s">
        <v>74</v>
      </c>
      <c r="BE161" t="s">
        <v>2468</v>
      </c>
      <c r="BF161" t="str">
        <f>HYPERLINK("http://dx.doi.org/10.1175/1520-0493(1999)127&lt;2379:AECAOO&gt;2.0.CO;2","http://dx.doi.org/10.1175/1520-0493(1999)127&lt;2379:AECAOO&gt;2.0.CO;2")</f>
        <v>http://dx.doi.org/10.1175/1520-0493(1999)127&lt;2379:AECAOO&gt;2.0.CO;2</v>
      </c>
      <c r="BG161" t="s">
        <v>74</v>
      </c>
      <c r="BH161" t="s">
        <v>74</v>
      </c>
      <c r="BI161">
        <v>16</v>
      </c>
      <c r="BJ161" t="s">
        <v>95</v>
      </c>
      <c r="BK161" t="s">
        <v>96</v>
      </c>
      <c r="BL161" t="s">
        <v>95</v>
      </c>
      <c r="BM161" t="s">
        <v>2469</v>
      </c>
      <c r="BN161" t="s">
        <v>74</v>
      </c>
      <c r="BO161" t="s">
        <v>390</v>
      </c>
      <c r="BP161" t="s">
        <v>74</v>
      </c>
      <c r="BQ161" t="s">
        <v>74</v>
      </c>
      <c r="BR161" t="s">
        <v>99</v>
      </c>
      <c r="BS161" t="s">
        <v>2470</v>
      </c>
      <c r="BT161" t="str">
        <f>HYPERLINK("https%3A%2F%2Fwww.webofscience.com%2Fwos%2Fwoscc%2Ffull-record%2FWOS:000083007000010","View Full Record in Web of Science")</f>
        <v>View Full Record in Web of Science</v>
      </c>
    </row>
    <row r="162" spans="1:72" x14ac:dyDescent="0.15">
      <c r="A162" t="s">
        <v>72</v>
      </c>
      <c r="B162" t="s">
        <v>2471</v>
      </c>
      <c r="C162" t="s">
        <v>74</v>
      </c>
      <c r="D162" t="s">
        <v>74</v>
      </c>
      <c r="E162" t="s">
        <v>74</v>
      </c>
      <c r="F162" t="s">
        <v>2471</v>
      </c>
      <c r="G162" t="s">
        <v>74</v>
      </c>
      <c r="H162" t="s">
        <v>74</v>
      </c>
      <c r="I162" t="s">
        <v>2472</v>
      </c>
      <c r="J162" t="s">
        <v>2473</v>
      </c>
      <c r="K162" t="s">
        <v>74</v>
      </c>
      <c r="L162" t="s">
        <v>74</v>
      </c>
      <c r="M162" t="s">
        <v>77</v>
      </c>
      <c r="N162" t="s">
        <v>2339</v>
      </c>
      <c r="O162" t="s">
        <v>74</v>
      </c>
      <c r="P162" t="s">
        <v>74</v>
      </c>
      <c r="Q162" t="s">
        <v>74</v>
      </c>
      <c r="R162" t="s">
        <v>74</v>
      </c>
      <c r="S162" t="s">
        <v>74</v>
      </c>
      <c r="T162" t="s">
        <v>74</v>
      </c>
      <c r="U162" t="s">
        <v>74</v>
      </c>
      <c r="V162" t="s">
        <v>74</v>
      </c>
      <c r="W162" t="s">
        <v>74</v>
      </c>
      <c r="X162" t="s">
        <v>74</v>
      </c>
      <c r="Y162" t="s">
        <v>74</v>
      </c>
      <c r="Z162" t="s">
        <v>74</v>
      </c>
      <c r="AA162" t="s">
        <v>74</v>
      </c>
      <c r="AB162" t="s">
        <v>74</v>
      </c>
      <c r="AC162" t="s">
        <v>74</v>
      </c>
      <c r="AD162" t="s">
        <v>74</v>
      </c>
      <c r="AE162" t="s">
        <v>74</v>
      </c>
      <c r="AF162" t="s">
        <v>74</v>
      </c>
      <c r="AG162">
        <v>1</v>
      </c>
      <c r="AH162">
        <v>0</v>
      </c>
      <c r="AI162">
        <v>0</v>
      </c>
      <c r="AJ162">
        <v>0</v>
      </c>
      <c r="AK162">
        <v>1</v>
      </c>
      <c r="AL162" t="s">
        <v>2474</v>
      </c>
      <c r="AM162" t="s">
        <v>2369</v>
      </c>
      <c r="AN162" t="s">
        <v>2475</v>
      </c>
      <c r="AO162" t="s">
        <v>2476</v>
      </c>
      <c r="AP162" t="s">
        <v>74</v>
      </c>
      <c r="AQ162" t="s">
        <v>74</v>
      </c>
      <c r="AR162" t="s">
        <v>2473</v>
      </c>
      <c r="AS162" t="s">
        <v>2477</v>
      </c>
      <c r="AT162" t="s">
        <v>1849</v>
      </c>
      <c r="AU162">
        <v>1999</v>
      </c>
      <c r="AV162">
        <v>45</v>
      </c>
      <c r="AW162">
        <v>4</v>
      </c>
      <c r="AX162" t="s">
        <v>74</v>
      </c>
      <c r="AY162" t="s">
        <v>74</v>
      </c>
      <c r="AZ162" t="s">
        <v>74</v>
      </c>
      <c r="BA162" t="s">
        <v>74</v>
      </c>
      <c r="BB162">
        <v>959</v>
      </c>
      <c r="BC162">
        <v>959</v>
      </c>
      <c r="BD162" t="s">
        <v>74</v>
      </c>
      <c r="BE162" t="s">
        <v>2478</v>
      </c>
      <c r="BF162" t="str">
        <f>HYPERLINK("http://dx.doi.org/10.1097/00006123-199910000-00068","http://dx.doi.org/10.1097/00006123-199910000-00068")</f>
        <v>http://dx.doi.org/10.1097/00006123-199910000-00068</v>
      </c>
      <c r="BG162" t="s">
        <v>74</v>
      </c>
      <c r="BH162" t="s">
        <v>74</v>
      </c>
      <c r="BI162">
        <v>1</v>
      </c>
      <c r="BJ162" t="s">
        <v>2479</v>
      </c>
      <c r="BK162" t="s">
        <v>96</v>
      </c>
      <c r="BL162" t="s">
        <v>2480</v>
      </c>
      <c r="BM162" t="s">
        <v>2481</v>
      </c>
      <c r="BN162">
        <v>10515500</v>
      </c>
      <c r="BO162" t="s">
        <v>98</v>
      </c>
      <c r="BP162" t="s">
        <v>74</v>
      </c>
      <c r="BQ162" t="s">
        <v>74</v>
      </c>
      <c r="BR162" t="s">
        <v>99</v>
      </c>
      <c r="BS162" t="s">
        <v>2482</v>
      </c>
      <c r="BT162" t="str">
        <f>HYPERLINK("https%3A%2F%2Fwww.webofscience.com%2Fwos%2Fwoscc%2Ffull-record%2FWOS:000082932700129","View Full Record in Web of Science")</f>
        <v>View Full Record in Web of Science</v>
      </c>
    </row>
    <row r="163" spans="1:72" x14ac:dyDescent="0.15">
      <c r="A163" t="s">
        <v>72</v>
      </c>
      <c r="B163" t="s">
        <v>2483</v>
      </c>
      <c r="C163" t="s">
        <v>74</v>
      </c>
      <c r="D163" t="s">
        <v>74</v>
      </c>
      <c r="E163" t="s">
        <v>74</v>
      </c>
      <c r="F163" t="s">
        <v>2483</v>
      </c>
      <c r="G163" t="s">
        <v>74</v>
      </c>
      <c r="H163" t="s">
        <v>74</v>
      </c>
      <c r="I163" t="s">
        <v>2484</v>
      </c>
      <c r="J163" t="s">
        <v>1308</v>
      </c>
      <c r="K163" t="s">
        <v>74</v>
      </c>
      <c r="L163" t="s">
        <v>74</v>
      </c>
      <c r="M163" t="s">
        <v>77</v>
      </c>
      <c r="N163" t="s">
        <v>78</v>
      </c>
      <c r="O163" t="s">
        <v>74</v>
      </c>
      <c r="P163" t="s">
        <v>74</v>
      </c>
      <c r="Q163" t="s">
        <v>74</v>
      </c>
      <c r="R163" t="s">
        <v>74</v>
      </c>
      <c r="S163" t="s">
        <v>74</v>
      </c>
      <c r="T163" t="s">
        <v>2485</v>
      </c>
      <c r="U163" t="s">
        <v>2486</v>
      </c>
      <c r="V163" t="s">
        <v>2487</v>
      </c>
      <c r="W163" t="s">
        <v>2488</v>
      </c>
      <c r="X163" t="s">
        <v>2489</v>
      </c>
      <c r="Y163" t="s">
        <v>2490</v>
      </c>
      <c r="Z163" t="s">
        <v>74</v>
      </c>
      <c r="AA163" t="s">
        <v>74</v>
      </c>
      <c r="AB163" t="s">
        <v>74</v>
      </c>
      <c r="AC163" t="s">
        <v>74</v>
      </c>
      <c r="AD163" t="s">
        <v>74</v>
      </c>
      <c r="AE163" t="s">
        <v>74</v>
      </c>
      <c r="AF163" t="s">
        <v>74</v>
      </c>
      <c r="AG163">
        <v>23</v>
      </c>
      <c r="AH163">
        <v>20</v>
      </c>
      <c r="AI163">
        <v>22</v>
      </c>
      <c r="AJ163">
        <v>2</v>
      </c>
      <c r="AK163">
        <v>8</v>
      </c>
      <c r="AL163" t="s">
        <v>553</v>
      </c>
      <c r="AM163" t="s">
        <v>554</v>
      </c>
      <c r="AN163" t="s">
        <v>555</v>
      </c>
      <c r="AO163" t="s">
        <v>1317</v>
      </c>
      <c r="AP163" t="s">
        <v>74</v>
      </c>
      <c r="AQ163" t="s">
        <v>74</v>
      </c>
      <c r="AR163" t="s">
        <v>1308</v>
      </c>
      <c r="AS163" t="s">
        <v>1318</v>
      </c>
      <c r="AT163" t="s">
        <v>1849</v>
      </c>
      <c r="AU163">
        <v>1999</v>
      </c>
      <c r="AV163">
        <v>121</v>
      </c>
      <c r="AW163">
        <v>1</v>
      </c>
      <c r="AX163" t="s">
        <v>74</v>
      </c>
      <c r="AY163" t="s">
        <v>74</v>
      </c>
      <c r="AZ163" t="s">
        <v>74</v>
      </c>
      <c r="BA163" t="s">
        <v>74</v>
      </c>
      <c r="BB163">
        <v>25</v>
      </c>
      <c r="BC163">
        <v>31</v>
      </c>
      <c r="BD163" t="s">
        <v>74</v>
      </c>
      <c r="BE163" t="s">
        <v>2491</v>
      </c>
      <c r="BF163" t="str">
        <f>HYPERLINK("http://dx.doi.org/10.1007/s004420050903","http://dx.doi.org/10.1007/s004420050903")</f>
        <v>http://dx.doi.org/10.1007/s004420050903</v>
      </c>
      <c r="BG163" t="s">
        <v>74</v>
      </c>
      <c r="BH163" t="s">
        <v>74</v>
      </c>
      <c r="BI163">
        <v>7</v>
      </c>
      <c r="BJ163" t="s">
        <v>868</v>
      </c>
      <c r="BK163" t="s">
        <v>96</v>
      </c>
      <c r="BL163" t="s">
        <v>761</v>
      </c>
      <c r="BM163" t="s">
        <v>2492</v>
      </c>
      <c r="BN163">
        <v>28307885</v>
      </c>
      <c r="BO163" t="s">
        <v>74</v>
      </c>
      <c r="BP163" t="s">
        <v>74</v>
      </c>
      <c r="BQ163" t="s">
        <v>74</v>
      </c>
      <c r="BR163" t="s">
        <v>99</v>
      </c>
      <c r="BS163" t="s">
        <v>2493</v>
      </c>
      <c r="BT163" t="str">
        <f>HYPERLINK("https%3A%2F%2Fwww.webofscience.com%2Fwos%2Fwoscc%2Ffull-record%2FWOS:000083131600004","View Full Record in Web of Science")</f>
        <v>View Full Record in Web of Science</v>
      </c>
    </row>
    <row r="164" spans="1:72" x14ac:dyDescent="0.15">
      <c r="A164" t="s">
        <v>72</v>
      </c>
      <c r="B164" t="s">
        <v>2494</v>
      </c>
      <c r="C164" t="s">
        <v>74</v>
      </c>
      <c r="D164" t="s">
        <v>74</v>
      </c>
      <c r="E164" t="s">
        <v>74</v>
      </c>
      <c r="F164" t="s">
        <v>2494</v>
      </c>
      <c r="G164" t="s">
        <v>74</v>
      </c>
      <c r="H164" t="s">
        <v>74</v>
      </c>
      <c r="I164" t="s">
        <v>2495</v>
      </c>
      <c r="J164" t="s">
        <v>2496</v>
      </c>
      <c r="K164" t="s">
        <v>74</v>
      </c>
      <c r="L164" t="s">
        <v>74</v>
      </c>
      <c r="M164" t="s">
        <v>77</v>
      </c>
      <c r="N164" t="s">
        <v>78</v>
      </c>
      <c r="O164" t="s">
        <v>74</v>
      </c>
      <c r="P164" t="s">
        <v>74</v>
      </c>
      <c r="Q164" t="s">
        <v>74</v>
      </c>
      <c r="R164" t="s">
        <v>74</v>
      </c>
      <c r="S164" t="s">
        <v>74</v>
      </c>
      <c r="T164" t="s">
        <v>74</v>
      </c>
      <c r="U164" t="s">
        <v>2497</v>
      </c>
      <c r="V164" t="s">
        <v>2498</v>
      </c>
      <c r="W164" t="s">
        <v>2499</v>
      </c>
      <c r="X164" t="s">
        <v>2500</v>
      </c>
      <c r="Y164" t="s">
        <v>2501</v>
      </c>
      <c r="Z164" t="s">
        <v>74</v>
      </c>
      <c r="AA164" t="s">
        <v>2502</v>
      </c>
      <c r="AB164" t="s">
        <v>2503</v>
      </c>
      <c r="AC164" t="s">
        <v>74</v>
      </c>
      <c r="AD164" t="s">
        <v>74</v>
      </c>
      <c r="AE164" t="s">
        <v>74</v>
      </c>
      <c r="AF164" t="s">
        <v>74</v>
      </c>
      <c r="AG164">
        <v>48</v>
      </c>
      <c r="AH164">
        <v>23</v>
      </c>
      <c r="AI164">
        <v>24</v>
      </c>
      <c r="AJ164">
        <v>0</v>
      </c>
      <c r="AK164">
        <v>4</v>
      </c>
      <c r="AL164" t="s">
        <v>2504</v>
      </c>
      <c r="AM164" t="s">
        <v>2505</v>
      </c>
      <c r="AN164" t="s">
        <v>2506</v>
      </c>
      <c r="AO164" t="s">
        <v>2507</v>
      </c>
      <c r="AP164" t="s">
        <v>2508</v>
      </c>
      <c r="AQ164" t="s">
        <v>74</v>
      </c>
      <c r="AR164" t="s">
        <v>2509</v>
      </c>
      <c r="AS164" t="s">
        <v>2510</v>
      </c>
      <c r="AT164" t="s">
        <v>1889</v>
      </c>
      <c r="AU164">
        <v>1999</v>
      </c>
      <c r="AV164">
        <v>1</v>
      </c>
      <c r="AW164">
        <v>19</v>
      </c>
      <c r="AX164" t="s">
        <v>74</v>
      </c>
      <c r="AY164" t="s">
        <v>74</v>
      </c>
      <c r="AZ164" t="s">
        <v>74</v>
      </c>
      <c r="BA164" t="s">
        <v>74</v>
      </c>
      <c r="BB164">
        <v>4565</v>
      </c>
      <c r="BC164">
        <v>4570</v>
      </c>
      <c r="BD164" t="s">
        <v>74</v>
      </c>
      <c r="BE164" t="s">
        <v>2511</v>
      </c>
      <c r="BF164" t="str">
        <f>HYPERLINK("http://dx.doi.org/10.1039/a904651h","http://dx.doi.org/10.1039/a904651h")</f>
        <v>http://dx.doi.org/10.1039/a904651h</v>
      </c>
      <c r="BG164" t="s">
        <v>74</v>
      </c>
      <c r="BH164" t="s">
        <v>74</v>
      </c>
      <c r="BI164">
        <v>6</v>
      </c>
      <c r="BJ164" t="s">
        <v>372</v>
      </c>
      <c r="BK164" t="s">
        <v>96</v>
      </c>
      <c r="BL164" t="s">
        <v>373</v>
      </c>
      <c r="BM164" t="s">
        <v>2512</v>
      </c>
      <c r="BN164" t="s">
        <v>74</v>
      </c>
      <c r="BO164" t="s">
        <v>74</v>
      </c>
      <c r="BP164" t="s">
        <v>74</v>
      </c>
      <c r="BQ164" t="s">
        <v>74</v>
      </c>
      <c r="BR164" t="s">
        <v>99</v>
      </c>
      <c r="BS164" t="s">
        <v>2513</v>
      </c>
      <c r="BT164" t="str">
        <f>HYPERLINK("https%3A%2F%2Fwww.webofscience.com%2Fwos%2Fwoscc%2Ffull-record%2FWOS:000082813700006","View Full Record in Web of Science")</f>
        <v>View Full Record in Web of Science</v>
      </c>
    </row>
    <row r="165" spans="1:72" x14ac:dyDescent="0.15">
      <c r="A165" t="s">
        <v>72</v>
      </c>
      <c r="B165" t="s">
        <v>2514</v>
      </c>
      <c r="C165" t="s">
        <v>74</v>
      </c>
      <c r="D165" t="s">
        <v>74</v>
      </c>
      <c r="E165" t="s">
        <v>74</v>
      </c>
      <c r="F165" t="s">
        <v>2514</v>
      </c>
      <c r="G165" t="s">
        <v>74</v>
      </c>
      <c r="H165" t="s">
        <v>74</v>
      </c>
      <c r="I165" t="s">
        <v>2515</v>
      </c>
      <c r="J165" t="s">
        <v>1375</v>
      </c>
      <c r="K165" t="s">
        <v>74</v>
      </c>
      <c r="L165" t="s">
        <v>74</v>
      </c>
      <c r="M165" t="s">
        <v>77</v>
      </c>
      <c r="N165" t="s">
        <v>78</v>
      </c>
      <c r="O165" t="s">
        <v>74</v>
      </c>
      <c r="P165" t="s">
        <v>74</v>
      </c>
      <c r="Q165" t="s">
        <v>74</v>
      </c>
      <c r="R165" t="s">
        <v>74</v>
      </c>
      <c r="S165" t="s">
        <v>74</v>
      </c>
      <c r="T165" t="s">
        <v>74</v>
      </c>
      <c r="U165" t="s">
        <v>2516</v>
      </c>
      <c r="V165" t="s">
        <v>2517</v>
      </c>
      <c r="W165" t="s">
        <v>2518</v>
      </c>
      <c r="X165" t="s">
        <v>2519</v>
      </c>
      <c r="Y165" t="s">
        <v>2520</v>
      </c>
      <c r="Z165" t="s">
        <v>2521</v>
      </c>
      <c r="AA165" t="s">
        <v>2522</v>
      </c>
      <c r="AB165" t="s">
        <v>74</v>
      </c>
      <c r="AC165" t="s">
        <v>74</v>
      </c>
      <c r="AD165" t="s">
        <v>74</v>
      </c>
      <c r="AE165" t="s">
        <v>74</v>
      </c>
      <c r="AF165" t="s">
        <v>74</v>
      </c>
      <c r="AG165">
        <v>24</v>
      </c>
      <c r="AH165">
        <v>24</v>
      </c>
      <c r="AI165">
        <v>24</v>
      </c>
      <c r="AJ165">
        <v>0</v>
      </c>
      <c r="AK165">
        <v>5</v>
      </c>
      <c r="AL165" t="s">
        <v>705</v>
      </c>
      <c r="AM165" t="s">
        <v>554</v>
      </c>
      <c r="AN165" t="s">
        <v>1242</v>
      </c>
      <c r="AO165" t="s">
        <v>1379</v>
      </c>
      <c r="AP165" t="s">
        <v>2523</v>
      </c>
      <c r="AQ165" t="s">
        <v>74</v>
      </c>
      <c r="AR165" t="s">
        <v>1380</v>
      </c>
      <c r="AS165" t="s">
        <v>1381</v>
      </c>
      <c r="AT165" t="s">
        <v>1849</v>
      </c>
      <c r="AU165">
        <v>1999</v>
      </c>
      <c r="AV165">
        <v>22</v>
      </c>
      <c r="AW165">
        <v>4</v>
      </c>
      <c r="AX165" t="s">
        <v>74</v>
      </c>
      <c r="AY165" t="s">
        <v>74</v>
      </c>
      <c r="AZ165" t="s">
        <v>74</v>
      </c>
      <c r="BA165" t="s">
        <v>74</v>
      </c>
      <c r="BB165">
        <v>241</v>
      </c>
      <c r="BC165">
        <v>247</v>
      </c>
      <c r="BD165" t="s">
        <v>74</v>
      </c>
      <c r="BE165" t="s">
        <v>2524</v>
      </c>
      <c r="BF165" t="str">
        <f>HYPERLINK("http://dx.doi.org/10.1007/s003000050416","http://dx.doi.org/10.1007/s003000050416")</f>
        <v>http://dx.doi.org/10.1007/s003000050416</v>
      </c>
      <c r="BG165" t="s">
        <v>74</v>
      </c>
      <c r="BH165" t="s">
        <v>74</v>
      </c>
      <c r="BI165">
        <v>7</v>
      </c>
      <c r="BJ165" t="s">
        <v>1383</v>
      </c>
      <c r="BK165" t="s">
        <v>96</v>
      </c>
      <c r="BL165" t="s">
        <v>1384</v>
      </c>
      <c r="BM165" t="s">
        <v>2525</v>
      </c>
      <c r="BN165" t="s">
        <v>74</v>
      </c>
      <c r="BO165" t="s">
        <v>74</v>
      </c>
      <c r="BP165" t="s">
        <v>74</v>
      </c>
      <c r="BQ165" t="s">
        <v>74</v>
      </c>
      <c r="BR165" t="s">
        <v>99</v>
      </c>
      <c r="BS165" t="s">
        <v>2526</v>
      </c>
      <c r="BT165" t="str">
        <f>HYPERLINK("https%3A%2F%2Fwww.webofscience.com%2Fwos%2Fwoscc%2Ffull-record%2FWOS:000082423100003","View Full Record in Web of Science")</f>
        <v>View Full Record in Web of Science</v>
      </c>
    </row>
    <row r="166" spans="1:72" x14ac:dyDescent="0.15">
      <c r="A166" t="s">
        <v>72</v>
      </c>
      <c r="B166" t="s">
        <v>2527</v>
      </c>
      <c r="C166" t="s">
        <v>74</v>
      </c>
      <c r="D166" t="s">
        <v>74</v>
      </c>
      <c r="E166" t="s">
        <v>74</v>
      </c>
      <c r="F166" t="s">
        <v>2527</v>
      </c>
      <c r="G166" t="s">
        <v>74</v>
      </c>
      <c r="H166" t="s">
        <v>74</v>
      </c>
      <c r="I166" t="s">
        <v>2528</v>
      </c>
      <c r="J166" t="s">
        <v>1375</v>
      </c>
      <c r="K166" t="s">
        <v>74</v>
      </c>
      <c r="L166" t="s">
        <v>74</v>
      </c>
      <c r="M166" t="s">
        <v>77</v>
      </c>
      <c r="N166" t="s">
        <v>78</v>
      </c>
      <c r="O166" t="s">
        <v>74</v>
      </c>
      <c r="P166" t="s">
        <v>74</v>
      </c>
      <c r="Q166" t="s">
        <v>74</v>
      </c>
      <c r="R166" t="s">
        <v>74</v>
      </c>
      <c r="S166" t="s">
        <v>74</v>
      </c>
      <c r="T166" t="s">
        <v>74</v>
      </c>
      <c r="U166" t="s">
        <v>2529</v>
      </c>
      <c r="V166" t="s">
        <v>2530</v>
      </c>
      <c r="W166" t="s">
        <v>2531</v>
      </c>
      <c r="X166" t="s">
        <v>2532</v>
      </c>
      <c r="Y166" t="s">
        <v>2533</v>
      </c>
      <c r="Z166" t="s">
        <v>74</v>
      </c>
      <c r="AA166" t="s">
        <v>74</v>
      </c>
      <c r="AB166" t="s">
        <v>74</v>
      </c>
      <c r="AC166" t="s">
        <v>74</v>
      </c>
      <c r="AD166" t="s">
        <v>74</v>
      </c>
      <c r="AE166" t="s">
        <v>74</v>
      </c>
      <c r="AF166" t="s">
        <v>74</v>
      </c>
      <c r="AG166">
        <v>25</v>
      </c>
      <c r="AH166">
        <v>14</v>
      </c>
      <c r="AI166">
        <v>16</v>
      </c>
      <c r="AJ166">
        <v>1</v>
      </c>
      <c r="AK166">
        <v>10</v>
      </c>
      <c r="AL166" t="s">
        <v>553</v>
      </c>
      <c r="AM166" t="s">
        <v>554</v>
      </c>
      <c r="AN166" t="s">
        <v>555</v>
      </c>
      <c r="AO166" t="s">
        <v>1379</v>
      </c>
      <c r="AP166" t="s">
        <v>74</v>
      </c>
      <c r="AQ166" t="s">
        <v>74</v>
      </c>
      <c r="AR166" t="s">
        <v>1380</v>
      </c>
      <c r="AS166" t="s">
        <v>1381</v>
      </c>
      <c r="AT166" t="s">
        <v>1849</v>
      </c>
      <c r="AU166">
        <v>1999</v>
      </c>
      <c r="AV166">
        <v>22</v>
      </c>
      <c r="AW166">
        <v>4</v>
      </c>
      <c r="AX166" t="s">
        <v>74</v>
      </c>
      <c r="AY166" t="s">
        <v>74</v>
      </c>
      <c r="AZ166" t="s">
        <v>74</v>
      </c>
      <c r="BA166" t="s">
        <v>74</v>
      </c>
      <c r="BB166">
        <v>248</v>
      </c>
      <c r="BC166">
        <v>253</v>
      </c>
      <c r="BD166" t="s">
        <v>74</v>
      </c>
      <c r="BE166" t="s">
        <v>2534</v>
      </c>
      <c r="BF166" t="str">
        <f>HYPERLINK("http://dx.doi.org/10.1007/s003000050417","http://dx.doi.org/10.1007/s003000050417")</f>
        <v>http://dx.doi.org/10.1007/s003000050417</v>
      </c>
      <c r="BG166" t="s">
        <v>74</v>
      </c>
      <c r="BH166" t="s">
        <v>74</v>
      </c>
      <c r="BI166">
        <v>6</v>
      </c>
      <c r="BJ166" t="s">
        <v>1383</v>
      </c>
      <c r="BK166" t="s">
        <v>96</v>
      </c>
      <c r="BL166" t="s">
        <v>1384</v>
      </c>
      <c r="BM166" t="s">
        <v>2525</v>
      </c>
      <c r="BN166" t="s">
        <v>74</v>
      </c>
      <c r="BO166" t="s">
        <v>74</v>
      </c>
      <c r="BP166" t="s">
        <v>74</v>
      </c>
      <c r="BQ166" t="s">
        <v>74</v>
      </c>
      <c r="BR166" t="s">
        <v>99</v>
      </c>
      <c r="BS166" t="s">
        <v>2535</v>
      </c>
      <c r="BT166" t="str">
        <f>HYPERLINK("https%3A%2F%2Fwww.webofscience.com%2Fwos%2Fwoscc%2Ffull-record%2FWOS:000082423100004","View Full Record in Web of Science")</f>
        <v>View Full Record in Web of Science</v>
      </c>
    </row>
    <row r="167" spans="1:72" x14ac:dyDescent="0.15">
      <c r="A167" t="s">
        <v>72</v>
      </c>
      <c r="B167" t="s">
        <v>2536</v>
      </c>
      <c r="C167" t="s">
        <v>74</v>
      </c>
      <c r="D167" t="s">
        <v>74</v>
      </c>
      <c r="E167" t="s">
        <v>74</v>
      </c>
      <c r="F167" t="s">
        <v>2536</v>
      </c>
      <c r="G167" t="s">
        <v>74</v>
      </c>
      <c r="H167" t="s">
        <v>74</v>
      </c>
      <c r="I167" t="s">
        <v>2537</v>
      </c>
      <c r="J167" t="s">
        <v>1375</v>
      </c>
      <c r="K167" t="s">
        <v>74</v>
      </c>
      <c r="L167" t="s">
        <v>74</v>
      </c>
      <c r="M167" t="s">
        <v>77</v>
      </c>
      <c r="N167" t="s">
        <v>78</v>
      </c>
      <c r="O167" t="s">
        <v>74</v>
      </c>
      <c r="P167" t="s">
        <v>74</v>
      </c>
      <c r="Q167" t="s">
        <v>74</v>
      </c>
      <c r="R167" t="s">
        <v>74</v>
      </c>
      <c r="S167" t="s">
        <v>74</v>
      </c>
      <c r="T167" t="s">
        <v>74</v>
      </c>
      <c r="U167" t="s">
        <v>2538</v>
      </c>
      <c r="V167" t="s">
        <v>2539</v>
      </c>
      <c r="W167" t="s">
        <v>2540</v>
      </c>
      <c r="X167" t="s">
        <v>2541</v>
      </c>
      <c r="Y167" t="s">
        <v>2542</v>
      </c>
      <c r="Z167" t="s">
        <v>74</v>
      </c>
      <c r="AA167" t="s">
        <v>74</v>
      </c>
      <c r="AB167" t="s">
        <v>74</v>
      </c>
      <c r="AC167" t="s">
        <v>74</v>
      </c>
      <c r="AD167" t="s">
        <v>74</v>
      </c>
      <c r="AE167" t="s">
        <v>74</v>
      </c>
      <c r="AF167" t="s">
        <v>74</v>
      </c>
      <c r="AG167">
        <v>34</v>
      </c>
      <c r="AH167">
        <v>25</v>
      </c>
      <c r="AI167">
        <v>28</v>
      </c>
      <c r="AJ167">
        <v>0</v>
      </c>
      <c r="AK167">
        <v>6</v>
      </c>
      <c r="AL167" t="s">
        <v>553</v>
      </c>
      <c r="AM167" t="s">
        <v>554</v>
      </c>
      <c r="AN167" t="s">
        <v>555</v>
      </c>
      <c r="AO167" t="s">
        <v>1379</v>
      </c>
      <c r="AP167" t="s">
        <v>74</v>
      </c>
      <c r="AQ167" t="s">
        <v>74</v>
      </c>
      <c r="AR167" t="s">
        <v>1380</v>
      </c>
      <c r="AS167" t="s">
        <v>1381</v>
      </c>
      <c r="AT167" t="s">
        <v>1849</v>
      </c>
      <c r="AU167">
        <v>1999</v>
      </c>
      <c r="AV167">
        <v>22</v>
      </c>
      <c r="AW167">
        <v>4</v>
      </c>
      <c r="AX167" t="s">
        <v>74</v>
      </c>
      <c r="AY167" t="s">
        <v>74</v>
      </c>
      <c r="AZ167" t="s">
        <v>74</v>
      </c>
      <c r="BA167" t="s">
        <v>74</v>
      </c>
      <c r="BB167">
        <v>279</v>
      </c>
      <c r="BC167">
        <v>288</v>
      </c>
      <c r="BD167" t="s">
        <v>74</v>
      </c>
      <c r="BE167" t="s">
        <v>2543</v>
      </c>
      <c r="BF167" t="str">
        <f>HYPERLINK("http://dx.doi.org/10.1007/s003000050421","http://dx.doi.org/10.1007/s003000050421")</f>
        <v>http://dx.doi.org/10.1007/s003000050421</v>
      </c>
      <c r="BG167" t="s">
        <v>74</v>
      </c>
      <c r="BH167" t="s">
        <v>74</v>
      </c>
      <c r="BI167">
        <v>10</v>
      </c>
      <c r="BJ167" t="s">
        <v>1383</v>
      </c>
      <c r="BK167" t="s">
        <v>96</v>
      </c>
      <c r="BL167" t="s">
        <v>1384</v>
      </c>
      <c r="BM167" t="s">
        <v>2525</v>
      </c>
      <c r="BN167" t="s">
        <v>74</v>
      </c>
      <c r="BO167" t="s">
        <v>74</v>
      </c>
      <c r="BP167" t="s">
        <v>74</v>
      </c>
      <c r="BQ167" t="s">
        <v>74</v>
      </c>
      <c r="BR167" t="s">
        <v>99</v>
      </c>
      <c r="BS167" t="s">
        <v>2544</v>
      </c>
      <c r="BT167" t="str">
        <f>HYPERLINK("https%3A%2F%2Fwww.webofscience.com%2Fwos%2Fwoscc%2Ffull-record%2FWOS:000082423100008","View Full Record in Web of Science")</f>
        <v>View Full Record in Web of Science</v>
      </c>
    </row>
    <row r="168" spans="1:72" x14ac:dyDescent="0.15">
      <c r="A168" t="s">
        <v>72</v>
      </c>
      <c r="B168" t="s">
        <v>2545</v>
      </c>
      <c r="C168" t="s">
        <v>74</v>
      </c>
      <c r="D168" t="s">
        <v>74</v>
      </c>
      <c r="E168" t="s">
        <v>74</v>
      </c>
      <c r="F168" t="s">
        <v>2545</v>
      </c>
      <c r="G168" t="s">
        <v>74</v>
      </c>
      <c r="H168" t="s">
        <v>74</v>
      </c>
      <c r="I168" t="s">
        <v>2546</v>
      </c>
      <c r="J168" t="s">
        <v>2547</v>
      </c>
      <c r="K168" t="s">
        <v>74</v>
      </c>
      <c r="L168" t="s">
        <v>74</v>
      </c>
      <c r="M168" t="s">
        <v>77</v>
      </c>
      <c r="N168" t="s">
        <v>78</v>
      </c>
      <c r="O168" t="s">
        <v>74</v>
      </c>
      <c r="P168" t="s">
        <v>74</v>
      </c>
      <c r="Q168" t="s">
        <v>74</v>
      </c>
      <c r="R168" t="s">
        <v>74</v>
      </c>
      <c r="S168" t="s">
        <v>74</v>
      </c>
      <c r="T168" t="s">
        <v>2548</v>
      </c>
      <c r="U168" t="s">
        <v>2549</v>
      </c>
      <c r="V168" t="s">
        <v>2550</v>
      </c>
      <c r="W168" t="s">
        <v>2551</v>
      </c>
      <c r="X168" t="s">
        <v>2552</v>
      </c>
      <c r="Y168" t="s">
        <v>2553</v>
      </c>
      <c r="Z168" t="s">
        <v>74</v>
      </c>
      <c r="AA168" t="s">
        <v>74</v>
      </c>
      <c r="AB168" t="s">
        <v>74</v>
      </c>
      <c r="AC168" t="s">
        <v>74</v>
      </c>
      <c r="AD168" t="s">
        <v>74</v>
      </c>
      <c r="AE168" t="s">
        <v>74</v>
      </c>
      <c r="AF168" t="s">
        <v>74</v>
      </c>
      <c r="AG168">
        <v>22</v>
      </c>
      <c r="AH168">
        <v>1</v>
      </c>
      <c r="AI168">
        <v>1</v>
      </c>
      <c r="AJ168">
        <v>0</v>
      </c>
      <c r="AK168">
        <v>6</v>
      </c>
      <c r="AL168" t="s">
        <v>2554</v>
      </c>
      <c r="AM168" t="s">
        <v>2555</v>
      </c>
      <c r="AN168" t="s">
        <v>2556</v>
      </c>
      <c r="AO168" t="s">
        <v>2557</v>
      </c>
      <c r="AP168" t="s">
        <v>74</v>
      </c>
      <c r="AQ168" t="s">
        <v>74</v>
      </c>
      <c r="AR168" t="s">
        <v>2558</v>
      </c>
      <c r="AS168" t="s">
        <v>2559</v>
      </c>
      <c r="AT168" t="s">
        <v>1849</v>
      </c>
      <c r="AU168">
        <v>1999</v>
      </c>
      <c r="AV168">
        <v>75</v>
      </c>
      <c r="AW168">
        <v>8</v>
      </c>
      <c r="AX168" t="s">
        <v>74</v>
      </c>
      <c r="AY168" t="s">
        <v>74</v>
      </c>
      <c r="AZ168" t="s">
        <v>74</v>
      </c>
      <c r="BA168" t="s">
        <v>74</v>
      </c>
      <c r="BB168">
        <v>229</v>
      </c>
      <c r="BC168">
        <v>234</v>
      </c>
      <c r="BD168" t="s">
        <v>74</v>
      </c>
      <c r="BE168" t="s">
        <v>2560</v>
      </c>
      <c r="BF168" t="str">
        <f>HYPERLINK("http://dx.doi.org/10.2183/pjab.75.229","http://dx.doi.org/10.2183/pjab.75.229")</f>
        <v>http://dx.doi.org/10.2183/pjab.75.229</v>
      </c>
      <c r="BG168" t="s">
        <v>74</v>
      </c>
      <c r="BH168" t="s">
        <v>74</v>
      </c>
      <c r="BI168">
        <v>6</v>
      </c>
      <c r="BJ168" t="s">
        <v>303</v>
      </c>
      <c r="BK168" t="s">
        <v>96</v>
      </c>
      <c r="BL168" t="s">
        <v>304</v>
      </c>
      <c r="BM168" t="s">
        <v>2561</v>
      </c>
      <c r="BN168" t="s">
        <v>74</v>
      </c>
      <c r="BO168" t="s">
        <v>250</v>
      </c>
      <c r="BP168" t="s">
        <v>74</v>
      </c>
      <c r="BQ168" t="s">
        <v>74</v>
      </c>
      <c r="BR168" t="s">
        <v>99</v>
      </c>
      <c r="BS168" t="s">
        <v>2562</v>
      </c>
      <c r="BT168" t="str">
        <f>HYPERLINK("https%3A%2F%2Fwww.webofscience.com%2Fwos%2Fwoscc%2Ffull-record%2FWOS:000083771600001","View Full Record in Web of Science")</f>
        <v>View Full Record in Web of Science</v>
      </c>
    </row>
    <row r="169" spans="1:72" x14ac:dyDescent="0.15">
      <c r="A169" t="s">
        <v>72</v>
      </c>
      <c r="B169" t="s">
        <v>2563</v>
      </c>
      <c r="C169" t="s">
        <v>74</v>
      </c>
      <c r="D169" t="s">
        <v>74</v>
      </c>
      <c r="E169" t="s">
        <v>74</v>
      </c>
      <c r="F169" t="s">
        <v>2563</v>
      </c>
      <c r="G169" t="s">
        <v>74</v>
      </c>
      <c r="H169" t="s">
        <v>74</v>
      </c>
      <c r="I169" t="s">
        <v>2564</v>
      </c>
      <c r="J169" t="s">
        <v>2565</v>
      </c>
      <c r="K169" t="s">
        <v>74</v>
      </c>
      <c r="L169" t="s">
        <v>74</v>
      </c>
      <c r="M169" t="s">
        <v>77</v>
      </c>
      <c r="N169" t="s">
        <v>78</v>
      </c>
      <c r="O169" t="s">
        <v>74</v>
      </c>
      <c r="P169" t="s">
        <v>74</v>
      </c>
      <c r="Q169" t="s">
        <v>74</v>
      </c>
      <c r="R169" t="s">
        <v>74</v>
      </c>
      <c r="S169" t="s">
        <v>74</v>
      </c>
      <c r="T169" t="s">
        <v>74</v>
      </c>
      <c r="U169" t="s">
        <v>2566</v>
      </c>
      <c r="V169" t="s">
        <v>2567</v>
      </c>
      <c r="W169" t="s">
        <v>2568</v>
      </c>
      <c r="X169" t="s">
        <v>2569</v>
      </c>
      <c r="Y169" t="s">
        <v>2570</v>
      </c>
      <c r="Z169" t="s">
        <v>74</v>
      </c>
      <c r="AA169" t="s">
        <v>2571</v>
      </c>
      <c r="AB169" t="s">
        <v>74</v>
      </c>
      <c r="AC169" t="s">
        <v>74</v>
      </c>
      <c r="AD169" t="s">
        <v>74</v>
      </c>
      <c r="AE169" t="s">
        <v>74</v>
      </c>
      <c r="AF169" t="s">
        <v>74</v>
      </c>
      <c r="AG169">
        <v>71</v>
      </c>
      <c r="AH169">
        <v>16</v>
      </c>
      <c r="AI169">
        <v>16</v>
      </c>
      <c r="AJ169">
        <v>0</v>
      </c>
      <c r="AK169">
        <v>3</v>
      </c>
      <c r="AL169" t="s">
        <v>230</v>
      </c>
      <c r="AM169" t="s">
        <v>231</v>
      </c>
      <c r="AN169" t="s">
        <v>232</v>
      </c>
      <c r="AO169" t="s">
        <v>2572</v>
      </c>
      <c r="AP169" t="s">
        <v>74</v>
      </c>
      <c r="AQ169" t="s">
        <v>74</v>
      </c>
      <c r="AR169" t="s">
        <v>2565</v>
      </c>
      <c r="AS169" t="s">
        <v>2573</v>
      </c>
      <c r="AT169" t="s">
        <v>1849</v>
      </c>
      <c r="AU169">
        <v>1999</v>
      </c>
      <c r="AV169">
        <v>18</v>
      </c>
      <c r="AW169">
        <v>5</v>
      </c>
      <c r="AX169" t="s">
        <v>74</v>
      </c>
      <c r="AY169" t="s">
        <v>74</v>
      </c>
      <c r="AZ169" t="s">
        <v>74</v>
      </c>
      <c r="BA169" t="s">
        <v>74</v>
      </c>
      <c r="BB169">
        <v>911</v>
      </c>
      <c r="BC169">
        <v>928</v>
      </c>
      <c r="BD169" t="s">
        <v>74</v>
      </c>
      <c r="BE169" t="s">
        <v>2574</v>
      </c>
      <c r="BF169" t="str">
        <f>HYPERLINK("http://dx.doi.org/10.1029/1999TC900008","http://dx.doi.org/10.1029/1999TC900008")</f>
        <v>http://dx.doi.org/10.1029/1999TC900008</v>
      </c>
      <c r="BG169" t="s">
        <v>74</v>
      </c>
      <c r="BH169" t="s">
        <v>74</v>
      </c>
      <c r="BI169">
        <v>18</v>
      </c>
      <c r="BJ169" t="s">
        <v>216</v>
      </c>
      <c r="BK169" t="s">
        <v>96</v>
      </c>
      <c r="BL169" t="s">
        <v>216</v>
      </c>
      <c r="BM169" t="s">
        <v>2575</v>
      </c>
      <c r="BN169" t="s">
        <v>74</v>
      </c>
      <c r="BO169" t="s">
        <v>250</v>
      </c>
      <c r="BP169" t="s">
        <v>74</v>
      </c>
      <c r="BQ169" t="s">
        <v>74</v>
      </c>
      <c r="BR169" t="s">
        <v>99</v>
      </c>
      <c r="BS169" t="s">
        <v>2576</v>
      </c>
      <c r="BT169" t="str">
        <f>HYPERLINK("https%3A%2F%2Fwww.webofscience.com%2Fwos%2Fwoscc%2Ffull-record%2FWOS:000083043900011","View Full Record in Web of Science")</f>
        <v>View Full Record in Web of Science</v>
      </c>
    </row>
    <row r="170" spans="1:72" x14ac:dyDescent="0.15">
      <c r="A170" t="s">
        <v>72</v>
      </c>
      <c r="B170" t="s">
        <v>2577</v>
      </c>
      <c r="C170" t="s">
        <v>74</v>
      </c>
      <c r="D170" t="s">
        <v>74</v>
      </c>
      <c r="E170" t="s">
        <v>74</v>
      </c>
      <c r="F170" t="s">
        <v>2577</v>
      </c>
      <c r="G170" t="s">
        <v>74</v>
      </c>
      <c r="H170" t="s">
        <v>74</v>
      </c>
      <c r="I170" t="s">
        <v>2578</v>
      </c>
      <c r="J170" t="s">
        <v>2579</v>
      </c>
      <c r="K170" t="s">
        <v>74</v>
      </c>
      <c r="L170" t="s">
        <v>74</v>
      </c>
      <c r="M170" t="s">
        <v>77</v>
      </c>
      <c r="N170" t="s">
        <v>205</v>
      </c>
      <c r="O170" t="s">
        <v>74</v>
      </c>
      <c r="P170" t="s">
        <v>74</v>
      </c>
      <c r="Q170" t="s">
        <v>74</v>
      </c>
      <c r="R170" t="s">
        <v>74</v>
      </c>
      <c r="S170" t="s">
        <v>74</v>
      </c>
      <c r="T170" t="s">
        <v>74</v>
      </c>
      <c r="U170" t="s">
        <v>74</v>
      </c>
      <c r="V170" t="s">
        <v>74</v>
      </c>
      <c r="W170" t="s">
        <v>151</v>
      </c>
      <c r="X170" t="s">
        <v>131</v>
      </c>
      <c r="Y170" t="s">
        <v>152</v>
      </c>
      <c r="Z170" t="s">
        <v>2580</v>
      </c>
      <c r="AA170" t="s">
        <v>74</v>
      </c>
      <c r="AB170" t="s">
        <v>74</v>
      </c>
      <c r="AC170" t="s">
        <v>74</v>
      </c>
      <c r="AD170" t="s">
        <v>74</v>
      </c>
      <c r="AE170" t="s">
        <v>74</v>
      </c>
      <c r="AF170" t="s">
        <v>74</v>
      </c>
      <c r="AG170">
        <v>14</v>
      </c>
      <c r="AH170">
        <v>1</v>
      </c>
      <c r="AI170">
        <v>1</v>
      </c>
      <c r="AJ170">
        <v>1</v>
      </c>
      <c r="AK170">
        <v>4</v>
      </c>
      <c r="AL170" t="s">
        <v>2581</v>
      </c>
      <c r="AM170" t="s">
        <v>531</v>
      </c>
      <c r="AN170" t="s">
        <v>2582</v>
      </c>
      <c r="AO170" t="s">
        <v>2583</v>
      </c>
      <c r="AP170" t="s">
        <v>2584</v>
      </c>
      <c r="AQ170" t="s">
        <v>74</v>
      </c>
      <c r="AR170" t="s">
        <v>2585</v>
      </c>
      <c r="AS170" t="s">
        <v>2586</v>
      </c>
      <c r="AT170" t="s">
        <v>1849</v>
      </c>
      <c r="AU170">
        <v>1999</v>
      </c>
      <c r="AV170">
        <v>14</v>
      </c>
      <c r="AW170">
        <v>10</v>
      </c>
      <c r="AX170" t="s">
        <v>74</v>
      </c>
      <c r="AY170" t="s">
        <v>74</v>
      </c>
      <c r="AZ170" t="s">
        <v>74</v>
      </c>
      <c r="BA170" t="s">
        <v>74</v>
      </c>
      <c r="BB170">
        <v>379</v>
      </c>
      <c r="BC170">
        <v>381</v>
      </c>
      <c r="BD170" t="s">
        <v>74</v>
      </c>
      <c r="BE170" t="s">
        <v>2587</v>
      </c>
      <c r="BF170" t="str">
        <f>HYPERLINK("http://dx.doi.org/10.1016/S0169-5347(99)01715-2","http://dx.doi.org/10.1016/S0169-5347(99)01715-2")</f>
        <v>http://dx.doi.org/10.1016/S0169-5347(99)01715-2</v>
      </c>
      <c r="BG170" t="s">
        <v>74</v>
      </c>
      <c r="BH170" t="s">
        <v>74</v>
      </c>
      <c r="BI170">
        <v>3</v>
      </c>
      <c r="BJ170" t="s">
        <v>2588</v>
      </c>
      <c r="BK170" t="s">
        <v>96</v>
      </c>
      <c r="BL170" t="s">
        <v>2589</v>
      </c>
      <c r="BM170" t="s">
        <v>2590</v>
      </c>
      <c r="BN170" t="s">
        <v>74</v>
      </c>
      <c r="BO170" t="s">
        <v>74</v>
      </c>
      <c r="BP170" t="s">
        <v>74</v>
      </c>
      <c r="BQ170" t="s">
        <v>74</v>
      </c>
      <c r="BR170" t="s">
        <v>99</v>
      </c>
      <c r="BS170" t="s">
        <v>2591</v>
      </c>
      <c r="BT170" t="str">
        <f>HYPERLINK("https%3A%2F%2Fwww.webofscience.com%2Fwos%2Fwoscc%2Ffull-record%2FWOS:000082558600004","View Full Record in Web of Science")</f>
        <v>View Full Record in Web of Science</v>
      </c>
    </row>
    <row r="171" spans="1:72" x14ac:dyDescent="0.15">
      <c r="A171" t="s">
        <v>72</v>
      </c>
      <c r="B171" t="s">
        <v>2592</v>
      </c>
      <c r="C171" t="s">
        <v>74</v>
      </c>
      <c r="D171" t="s">
        <v>74</v>
      </c>
      <c r="E171" t="s">
        <v>74</v>
      </c>
      <c r="F171" t="s">
        <v>2592</v>
      </c>
      <c r="G171" t="s">
        <v>74</v>
      </c>
      <c r="H171" t="s">
        <v>74</v>
      </c>
      <c r="I171" t="s">
        <v>2593</v>
      </c>
      <c r="J171" t="s">
        <v>2594</v>
      </c>
      <c r="K171" t="s">
        <v>74</v>
      </c>
      <c r="L171" t="s">
        <v>74</v>
      </c>
      <c r="M171" t="s">
        <v>77</v>
      </c>
      <c r="N171" t="s">
        <v>78</v>
      </c>
      <c r="O171" t="s">
        <v>74</v>
      </c>
      <c r="P171" t="s">
        <v>74</v>
      </c>
      <c r="Q171" t="s">
        <v>74</v>
      </c>
      <c r="R171" t="s">
        <v>74</v>
      </c>
      <c r="S171" t="s">
        <v>74</v>
      </c>
      <c r="T171" t="s">
        <v>2595</v>
      </c>
      <c r="U171" t="s">
        <v>2596</v>
      </c>
      <c r="V171" t="s">
        <v>2597</v>
      </c>
      <c r="W171" t="s">
        <v>2598</v>
      </c>
      <c r="X171" t="s">
        <v>2599</v>
      </c>
      <c r="Y171" t="s">
        <v>2290</v>
      </c>
      <c r="Z171" t="s">
        <v>74</v>
      </c>
      <c r="AA171" t="s">
        <v>74</v>
      </c>
      <c r="AB171" t="s">
        <v>2600</v>
      </c>
      <c r="AC171" t="s">
        <v>74</v>
      </c>
      <c r="AD171" t="s">
        <v>74</v>
      </c>
      <c r="AE171" t="s">
        <v>74</v>
      </c>
      <c r="AF171" t="s">
        <v>74</v>
      </c>
      <c r="AG171">
        <v>58</v>
      </c>
      <c r="AH171">
        <v>37</v>
      </c>
      <c r="AI171">
        <v>42</v>
      </c>
      <c r="AJ171">
        <v>3</v>
      </c>
      <c r="AK171">
        <v>25</v>
      </c>
      <c r="AL171" t="s">
        <v>153</v>
      </c>
      <c r="AM171" t="s">
        <v>154</v>
      </c>
      <c r="AN171" t="s">
        <v>155</v>
      </c>
      <c r="AO171" t="s">
        <v>2601</v>
      </c>
      <c r="AP171" t="s">
        <v>74</v>
      </c>
      <c r="AQ171" t="s">
        <v>74</v>
      </c>
      <c r="AR171" t="s">
        <v>2602</v>
      </c>
      <c r="AS171" t="s">
        <v>2603</v>
      </c>
      <c r="AT171" t="s">
        <v>1849</v>
      </c>
      <c r="AU171">
        <v>1999</v>
      </c>
      <c r="AV171">
        <v>64</v>
      </c>
      <c r="AW171">
        <v>5</v>
      </c>
      <c r="AX171" t="s">
        <v>74</v>
      </c>
      <c r="AY171" t="s">
        <v>74</v>
      </c>
      <c r="AZ171" t="s">
        <v>74</v>
      </c>
      <c r="BA171" t="s">
        <v>74</v>
      </c>
      <c r="BB171">
        <v>257</v>
      </c>
      <c r="BC171">
        <v>268</v>
      </c>
      <c r="BD171" t="s">
        <v>74</v>
      </c>
      <c r="BE171" t="s">
        <v>74</v>
      </c>
      <c r="BF171" t="s">
        <v>74</v>
      </c>
      <c r="BG171" t="s">
        <v>74</v>
      </c>
      <c r="BH171" t="s">
        <v>74</v>
      </c>
      <c r="BI171">
        <v>12</v>
      </c>
      <c r="BJ171" t="s">
        <v>142</v>
      </c>
      <c r="BK171" t="s">
        <v>96</v>
      </c>
      <c r="BL171" t="s">
        <v>142</v>
      </c>
      <c r="BM171" t="s">
        <v>2604</v>
      </c>
      <c r="BN171" t="s">
        <v>74</v>
      </c>
      <c r="BO171" t="s">
        <v>74</v>
      </c>
      <c r="BP171" t="s">
        <v>74</v>
      </c>
      <c r="BQ171" t="s">
        <v>74</v>
      </c>
      <c r="BR171" t="s">
        <v>99</v>
      </c>
      <c r="BS171" t="s">
        <v>2605</v>
      </c>
      <c r="BT171" t="str">
        <f>HYPERLINK("https%3A%2F%2Fwww.webofscience.com%2Fwos%2Fwoscc%2Ffull-record%2FWOS:000083606100001","View Full Record in Web of Science")</f>
        <v>View Full Record in Web of Science</v>
      </c>
    </row>
    <row r="172" spans="1:72" x14ac:dyDescent="0.15">
      <c r="A172" t="s">
        <v>72</v>
      </c>
      <c r="B172" t="s">
        <v>2606</v>
      </c>
      <c r="C172" t="s">
        <v>74</v>
      </c>
      <c r="D172" t="s">
        <v>74</v>
      </c>
      <c r="E172" t="s">
        <v>74</v>
      </c>
      <c r="F172" t="s">
        <v>2606</v>
      </c>
      <c r="G172" t="s">
        <v>74</v>
      </c>
      <c r="H172" t="s">
        <v>74</v>
      </c>
      <c r="I172" t="s">
        <v>2607</v>
      </c>
      <c r="J172" t="s">
        <v>2608</v>
      </c>
      <c r="K172" t="s">
        <v>74</v>
      </c>
      <c r="L172" t="s">
        <v>74</v>
      </c>
      <c r="M172" t="s">
        <v>77</v>
      </c>
      <c r="N172" t="s">
        <v>78</v>
      </c>
      <c r="O172" t="s">
        <v>74</v>
      </c>
      <c r="P172" t="s">
        <v>74</v>
      </c>
      <c r="Q172" t="s">
        <v>74</v>
      </c>
      <c r="R172" t="s">
        <v>74</v>
      </c>
      <c r="S172" t="s">
        <v>74</v>
      </c>
      <c r="T172" t="s">
        <v>2609</v>
      </c>
      <c r="U172" t="s">
        <v>2610</v>
      </c>
      <c r="V172" t="s">
        <v>2611</v>
      </c>
      <c r="W172" t="s">
        <v>2612</v>
      </c>
      <c r="X172" t="s">
        <v>2613</v>
      </c>
      <c r="Y172" t="s">
        <v>2614</v>
      </c>
      <c r="Z172" t="s">
        <v>2615</v>
      </c>
      <c r="AA172" t="s">
        <v>2616</v>
      </c>
      <c r="AB172" t="s">
        <v>2617</v>
      </c>
      <c r="AC172" t="s">
        <v>74</v>
      </c>
      <c r="AD172" t="s">
        <v>74</v>
      </c>
      <c r="AE172" t="s">
        <v>74</v>
      </c>
      <c r="AF172" t="s">
        <v>74</v>
      </c>
      <c r="AG172">
        <v>73</v>
      </c>
      <c r="AH172">
        <v>93</v>
      </c>
      <c r="AI172">
        <v>114</v>
      </c>
      <c r="AJ172">
        <v>3</v>
      </c>
      <c r="AK172">
        <v>38</v>
      </c>
      <c r="AL172" t="s">
        <v>210</v>
      </c>
      <c r="AM172" t="s">
        <v>211</v>
      </c>
      <c r="AN172" t="s">
        <v>212</v>
      </c>
      <c r="AO172" t="s">
        <v>2618</v>
      </c>
      <c r="AP172" t="s">
        <v>74</v>
      </c>
      <c r="AQ172" t="s">
        <v>74</v>
      </c>
      <c r="AR172" t="s">
        <v>2619</v>
      </c>
      <c r="AS172" t="s">
        <v>2620</v>
      </c>
      <c r="AT172" t="s">
        <v>2621</v>
      </c>
      <c r="AU172">
        <v>1999</v>
      </c>
      <c r="AV172">
        <v>161</v>
      </c>
      <c r="AW172" t="s">
        <v>2622</v>
      </c>
      <c r="AX172" t="s">
        <v>74</v>
      </c>
      <c r="AY172" t="s">
        <v>74</v>
      </c>
      <c r="AZ172" t="s">
        <v>74</v>
      </c>
      <c r="BA172" t="s">
        <v>74</v>
      </c>
      <c r="BB172">
        <v>165</v>
      </c>
      <c r="BC172">
        <v>180</v>
      </c>
      <c r="BD172" t="s">
        <v>74</v>
      </c>
      <c r="BE172" t="s">
        <v>2623</v>
      </c>
      <c r="BF172" t="str">
        <f>HYPERLINK("http://dx.doi.org/10.1016/S0009-2541(99)00085-6","http://dx.doi.org/10.1016/S0009-2541(99)00085-6")</f>
        <v>http://dx.doi.org/10.1016/S0009-2541(99)00085-6</v>
      </c>
      <c r="BG172" t="s">
        <v>74</v>
      </c>
      <c r="BH172" t="s">
        <v>74</v>
      </c>
      <c r="BI172">
        <v>16</v>
      </c>
      <c r="BJ172" t="s">
        <v>216</v>
      </c>
      <c r="BK172" t="s">
        <v>96</v>
      </c>
      <c r="BL172" t="s">
        <v>216</v>
      </c>
      <c r="BM172" t="s">
        <v>2624</v>
      </c>
      <c r="BN172" t="s">
        <v>74</v>
      </c>
      <c r="BO172" t="s">
        <v>74</v>
      </c>
      <c r="BP172" t="s">
        <v>74</v>
      </c>
      <c r="BQ172" t="s">
        <v>74</v>
      </c>
      <c r="BR172" t="s">
        <v>99</v>
      </c>
      <c r="BS172" t="s">
        <v>2625</v>
      </c>
      <c r="BT172" t="str">
        <f>HYPERLINK("https%3A%2F%2Fwww.webofscience.com%2Fwos%2Fwoscc%2Ffull-record%2FWOS:000083023800009","View Full Record in Web of Science")</f>
        <v>View Full Record in Web of Science</v>
      </c>
    </row>
    <row r="173" spans="1:72" x14ac:dyDescent="0.15">
      <c r="A173" t="s">
        <v>72</v>
      </c>
      <c r="B173" t="s">
        <v>2626</v>
      </c>
      <c r="C173" t="s">
        <v>74</v>
      </c>
      <c r="D173" t="s">
        <v>74</v>
      </c>
      <c r="E173" t="s">
        <v>74</v>
      </c>
      <c r="F173" t="s">
        <v>2626</v>
      </c>
      <c r="G173" t="s">
        <v>74</v>
      </c>
      <c r="H173" t="s">
        <v>74</v>
      </c>
      <c r="I173" t="s">
        <v>2627</v>
      </c>
      <c r="J173" t="s">
        <v>2628</v>
      </c>
      <c r="K173" t="s">
        <v>74</v>
      </c>
      <c r="L173" t="s">
        <v>74</v>
      </c>
      <c r="M173" t="s">
        <v>77</v>
      </c>
      <c r="N173" t="s">
        <v>254</v>
      </c>
      <c r="O173" t="s">
        <v>74</v>
      </c>
      <c r="P173" t="s">
        <v>74</v>
      </c>
      <c r="Q173" t="s">
        <v>74</v>
      </c>
      <c r="R173" t="s">
        <v>74</v>
      </c>
      <c r="S173" t="s">
        <v>74</v>
      </c>
      <c r="T173" t="s">
        <v>74</v>
      </c>
      <c r="U173" t="s">
        <v>2629</v>
      </c>
      <c r="V173" t="s">
        <v>2630</v>
      </c>
      <c r="W173" t="s">
        <v>2631</v>
      </c>
      <c r="X173" t="s">
        <v>2632</v>
      </c>
      <c r="Y173" t="s">
        <v>2633</v>
      </c>
      <c r="Z173" t="s">
        <v>2634</v>
      </c>
      <c r="AA173" t="s">
        <v>2635</v>
      </c>
      <c r="AB173" t="s">
        <v>74</v>
      </c>
      <c r="AC173" t="s">
        <v>74</v>
      </c>
      <c r="AD173" t="s">
        <v>74</v>
      </c>
      <c r="AE173" t="s">
        <v>74</v>
      </c>
      <c r="AF173" t="s">
        <v>74</v>
      </c>
      <c r="AG173">
        <v>125</v>
      </c>
      <c r="AH173">
        <v>27</v>
      </c>
      <c r="AI173">
        <v>33</v>
      </c>
      <c r="AJ173">
        <v>0</v>
      </c>
      <c r="AK173">
        <v>9</v>
      </c>
      <c r="AL173" t="s">
        <v>365</v>
      </c>
      <c r="AM173" t="s">
        <v>231</v>
      </c>
      <c r="AN173" t="s">
        <v>366</v>
      </c>
      <c r="AO173" t="s">
        <v>2636</v>
      </c>
      <c r="AP173" t="s">
        <v>74</v>
      </c>
      <c r="AQ173" t="s">
        <v>74</v>
      </c>
      <c r="AR173" t="s">
        <v>2637</v>
      </c>
      <c r="AS173" t="s">
        <v>2638</v>
      </c>
      <c r="AT173" t="s">
        <v>2621</v>
      </c>
      <c r="AU173">
        <v>1999</v>
      </c>
      <c r="AV173">
        <v>103</v>
      </c>
      <c r="AW173">
        <v>39</v>
      </c>
      <c r="AX173" t="s">
        <v>74</v>
      </c>
      <c r="AY173" t="s">
        <v>74</v>
      </c>
      <c r="AZ173" t="s">
        <v>74</v>
      </c>
      <c r="BA173" t="s">
        <v>74</v>
      </c>
      <c r="BB173">
        <v>8205</v>
      </c>
      <c r="BC173">
        <v>8215</v>
      </c>
      <c r="BD173" t="s">
        <v>74</v>
      </c>
      <c r="BE173" t="s">
        <v>2639</v>
      </c>
      <c r="BF173" t="str">
        <f>HYPERLINK("http://dx.doi.org/10.1021/jp991559s","http://dx.doi.org/10.1021/jp991559s")</f>
        <v>http://dx.doi.org/10.1021/jp991559s</v>
      </c>
      <c r="BG173" t="s">
        <v>74</v>
      </c>
      <c r="BH173" t="s">
        <v>74</v>
      </c>
      <c r="BI173">
        <v>11</v>
      </c>
      <c r="BJ173" t="s">
        <v>2640</v>
      </c>
      <c r="BK173" t="s">
        <v>96</v>
      </c>
      <c r="BL173" t="s">
        <v>285</v>
      </c>
      <c r="BM173" t="s">
        <v>2641</v>
      </c>
      <c r="BN173" t="s">
        <v>74</v>
      </c>
      <c r="BO173" t="s">
        <v>74</v>
      </c>
      <c r="BP173" t="s">
        <v>74</v>
      </c>
      <c r="BQ173" t="s">
        <v>74</v>
      </c>
      <c r="BR173" t="s">
        <v>99</v>
      </c>
      <c r="BS173" t="s">
        <v>2642</v>
      </c>
      <c r="BT173" t="str">
        <f>HYPERLINK("https%3A%2F%2Fwww.webofscience.com%2Fwos%2Fwoscc%2Ffull-record%2FWOS:000083011500003","View Full Record in Web of Science")</f>
        <v>View Full Record in Web of Science</v>
      </c>
    </row>
    <row r="174" spans="1:72" x14ac:dyDescent="0.15">
      <c r="A174" t="s">
        <v>72</v>
      </c>
      <c r="B174" t="s">
        <v>2643</v>
      </c>
      <c r="C174" t="s">
        <v>74</v>
      </c>
      <c r="D174" t="s">
        <v>74</v>
      </c>
      <c r="E174" t="s">
        <v>74</v>
      </c>
      <c r="F174" t="s">
        <v>2643</v>
      </c>
      <c r="G174" t="s">
        <v>74</v>
      </c>
      <c r="H174" t="s">
        <v>74</v>
      </c>
      <c r="I174" t="s">
        <v>2644</v>
      </c>
      <c r="J174" t="s">
        <v>221</v>
      </c>
      <c r="K174" t="s">
        <v>74</v>
      </c>
      <c r="L174" t="s">
        <v>74</v>
      </c>
      <c r="M174" t="s">
        <v>77</v>
      </c>
      <c r="N174" t="s">
        <v>78</v>
      </c>
      <c r="O174" t="s">
        <v>74</v>
      </c>
      <c r="P174" t="s">
        <v>74</v>
      </c>
      <c r="Q174" t="s">
        <v>74</v>
      </c>
      <c r="R174" t="s">
        <v>74</v>
      </c>
      <c r="S174" t="s">
        <v>74</v>
      </c>
      <c r="T174" t="s">
        <v>74</v>
      </c>
      <c r="U174" t="s">
        <v>2645</v>
      </c>
      <c r="V174" t="s">
        <v>2646</v>
      </c>
      <c r="W174" t="s">
        <v>2647</v>
      </c>
      <c r="X174" t="s">
        <v>2648</v>
      </c>
      <c r="Y174" t="s">
        <v>152</v>
      </c>
      <c r="Z174" t="s">
        <v>2649</v>
      </c>
      <c r="AA174" t="s">
        <v>2650</v>
      </c>
      <c r="AB174" t="s">
        <v>2651</v>
      </c>
      <c r="AC174" t="s">
        <v>74</v>
      </c>
      <c r="AD174" t="s">
        <v>74</v>
      </c>
      <c r="AE174" t="s">
        <v>74</v>
      </c>
      <c r="AF174" t="s">
        <v>74</v>
      </c>
      <c r="AG174">
        <v>47</v>
      </c>
      <c r="AH174">
        <v>73</v>
      </c>
      <c r="AI174">
        <v>81</v>
      </c>
      <c r="AJ174">
        <v>0</v>
      </c>
      <c r="AK174">
        <v>13</v>
      </c>
      <c r="AL174" t="s">
        <v>230</v>
      </c>
      <c r="AM174" t="s">
        <v>231</v>
      </c>
      <c r="AN174" t="s">
        <v>232</v>
      </c>
      <c r="AO174" t="s">
        <v>233</v>
      </c>
      <c r="AP174" t="s">
        <v>317</v>
      </c>
      <c r="AQ174" t="s">
        <v>74</v>
      </c>
      <c r="AR174" t="s">
        <v>234</v>
      </c>
      <c r="AS174" t="s">
        <v>235</v>
      </c>
      <c r="AT174" t="s">
        <v>2652</v>
      </c>
      <c r="AU174">
        <v>1999</v>
      </c>
      <c r="AV174">
        <v>104</v>
      </c>
      <c r="AW174" t="s">
        <v>2653</v>
      </c>
      <c r="AX174" t="s">
        <v>74</v>
      </c>
      <c r="AY174" t="s">
        <v>74</v>
      </c>
      <c r="AZ174" t="s">
        <v>74</v>
      </c>
      <c r="BA174" t="s">
        <v>74</v>
      </c>
      <c r="BB174">
        <v>21355</v>
      </c>
      <c r="BC174">
        <v>21366</v>
      </c>
      <c r="BD174" t="s">
        <v>74</v>
      </c>
      <c r="BE174" t="s">
        <v>2654</v>
      </c>
      <c r="BF174" t="str">
        <f>HYPERLINK("http://dx.doi.org/10.1029/1999JD900362","http://dx.doi.org/10.1029/1999JD900362")</f>
        <v>http://dx.doi.org/10.1029/1999JD900362</v>
      </c>
      <c r="BG174" t="s">
        <v>74</v>
      </c>
      <c r="BH174" t="s">
        <v>74</v>
      </c>
      <c r="BI174">
        <v>12</v>
      </c>
      <c r="BJ174" t="s">
        <v>95</v>
      </c>
      <c r="BK174" t="s">
        <v>96</v>
      </c>
      <c r="BL174" t="s">
        <v>95</v>
      </c>
      <c r="BM174" t="s">
        <v>2655</v>
      </c>
      <c r="BN174" t="s">
        <v>74</v>
      </c>
      <c r="BO174" t="s">
        <v>74</v>
      </c>
      <c r="BP174" t="s">
        <v>74</v>
      </c>
      <c r="BQ174" t="s">
        <v>74</v>
      </c>
      <c r="BR174" t="s">
        <v>99</v>
      </c>
      <c r="BS174" t="s">
        <v>2656</v>
      </c>
      <c r="BT174" t="str">
        <f>HYPERLINK("https%3A%2F%2Fwww.webofscience.com%2Fwos%2Fwoscc%2Ffull-record%2FWOS:000082690200011","View Full Record in Web of Science")</f>
        <v>View Full Record in Web of Science</v>
      </c>
    </row>
    <row r="175" spans="1:72" x14ac:dyDescent="0.15">
      <c r="A175" t="s">
        <v>72</v>
      </c>
      <c r="B175" t="s">
        <v>2657</v>
      </c>
      <c r="C175" t="s">
        <v>74</v>
      </c>
      <c r="D175" t="s">
        <v>74</v>
      </c>
      <c r="E175" t="s">
        <v>74</v>
      </c>
      <c r="F175" t="s">
        <v>2657</v>
      </c>
      <c r="G175" t="s">
        <v>74</v>
      </c>
      <c r="H175" t="s">
        <v>74</v>
      </c>
      <c r="I175" t="s">
        <v>2658</v>
      </c>
      <c r="J175" t="s">
        <v>221</v>
      </c>
      <c r="K175" t="s">
        <v>74</v>
      </c>
      <c r="L175" t="s">
        <v>74</v>
      </c>
      <c r="M175" t="s">
        <v>77</v>
      </c>
      <c r="N175" t="s">
        <v>78</v>
      </c>
      <c r="O175" t="s">
        <v>74</v>
      </c>
      <c r="P175" t="s">
        <v>74</v>
      </c>
      <c r="Q175" t="s">
        <v>74</v>
      </c>
      <c r="R175" t="s">
        <v>74</v>
      </c>
      <c r="S175" t="s">
        <v>74</v>
      </c>
      <c r="T175" t="s">
        <v>74</v>
      </c>
      <c r="U175" t="s">
        <v>2659</v>
      </c>
      <c r="V175" t="s">
        <v>2660</v>
      </c>
      <c r="W175" t="s">
        <v>2661</v>
      </c>
      <c r="X175" t="s">
        <v>2662</v>
      </c>
      <c r="Y175" t="s">
        <v>2663</v>
      </c>
      <c r="Z175" t="s">
        <v>2664</v>
      </c>
      <c r="AA175" t="s">
        <v>2665</v>
      </c>
      <c r="AB175" t="s">
        <v>2666</v>
      </c>
      <c r="AC175" t="s">
        <v>74</v>
      </c>
      <c r="AD175" t="s">
        <v>74</v>
      </c>
      <c r="AE175" t="s">
        <v>74</v>
      </c>
      <c r="AF175" t="s">
        <v>74</v>
      </c>
      <c r="AG175">
        <v>80</v>
      </c>
      <c r="AH175">
        <v>146</v>
      </c>
      <c r="AI175">
        <v>157</v>
      </c>
      <c r="AJ175">
        <v>0</v>
      </c>
      <c r="AK175">
        <v>21</v>
      </c>
      <c r="AL175" t="s">
        <v>230</v>
      </c>
      <c r="AM175" t="s">
        <v>231</v>
      </c>
      <c r="AN175" t="s">
        <v>232</v>
      </c>
      <c r="AO175" t="s">
        <v>233</v>
      </c>
      <c r="AP175" t="s">
        <v>317</v>
      </c>
      <c r="AQ175" t="s">
        <v>74</v>
      </c>
      <c r="AR175" t="s">
        <v>234</v>
      </c>
      <c r="AS175" t="s">
        <v>235</v>
      </c>
      <c r="AT175" t="s">
        <v>2652</v>
      </c>
      <c r="AU175">
        <v>1999</v>
      </c>
      <c r="AV175">
        <v>104</v>
      </c>
      <c r="AW175" t="s">
        <v>2653</v>
      </c>
      <c r="AX175" t="s">
        <v>74</v>
      </c>
      <c r="AY175" t="s">
        <v>74</v>
      </c>
      <c r="AZ175" t="s">
        <v>74</v>
      </c>
      <c r="BA175" t="s">
        <v>74</v>
      </c>
      <c r="BB175">
        <v>21513</v>
      </c>
      <c r="BC175">
        <v>21535</v>
      </c>
      <c r="BD175" t="s">
        <v>74</v>
      </c>
      <c r="BE175" t="s">
        <v>2667</v>
      </c>
      <c r="BF175" t="str">
        <f>HYPERLINK("http://dx.doi.org/10.1029/1999JD900197","http://dx.doi.org/10.1029/1999JD900197")</f>
        <v>http://dx.doi.org/10.1029/1999JD900197</v>
      </c>
      <c r="BG175" t="s">
        <v>74</v>
      </c>
      <c r="BH175" t="s">
        <v>74</v>
      </c>
      <c r="BI175">
        <v>23</v>
      </c>
      <c r="BJ175" t="s">
        <v>95</v>
      </c>
      <c r="BK175" t="s">
        <v>96</v>
      </c>
      <c r="BL175" t="s">
        <v>95</v>
      </c>
      <c r="BM175" t="s">
        <v>2655</v>
      </c>
      <c r="BN175" t="s">
        <v>74</v>
      </c>
      <c r="BO175" t="s">
        <v>495</v>
      </c>
      <c r="BP175" t="s">
        <v>74</v>
      </c>
      <c r="BQ175" t="s">
        <v>74</v>
      </c>
      <c r="BR175" t="s">
        <v>99</v>
      </c>
      <c r="BS175" t="s">
        <v>2668</v>
      </c>
      <c r="BT175" t="str">
        <f>HYPERLINK("https%3A%2F%2Fwww.webofscience.com%2Fwos%2Fwoscc%2Ffull-record%2FWOS:000082690200021","View Full Record in Web of Science")</f>
        <v>View Full Record in Web of Science</v>
      </c>
    </row>
    <row r="176" spans="1:72" x14ac:dyDescent="0.15">
      <c r="A176" t="s">
        <v>72</v>
      </c>
      <c r="B176" t="s">
        <v>2669</v>
      </c>
      <c r="C176" t="s">
        <v>74</v>
      </c>
      <c r="D176" t="s">
        <v>74</v>
      </c>
      <c r="E176" t="s">
        <v>74</v>
      </c>
      <c r="F176" t="s">
        <v>2669</v>
      </c>
      <c r="G176" t="s">
        <v>74</v>
      </c>
      <c r="H176" t="s">
        <v>74</v>
      </c>
      <c r="I176" t="s">
        <v>2670</v>
      </c>
      <c r="J176" t="s">
        <v>221</v>
      </c>
      <c r="K176" t="s">
        <v>74</v>
      </c>
      <c r="L176" t="s">
        <v>74</v>
      </c>
      <c r="M176" t="s">
        <v>77</v>
      </c>
      <c r="N176" t="s">
        <v>78</v>
      </c>
      <c r="O176" t="s">
        <v>74</v>
      </c>
      <c r="P176" t="s">
        <v>74</v>
      </c>
      <c r="Q176" t="s">
        <v>74</v>
      </c>
      <c r="R176" t="s">
        <v>74</v>
      </c>
      <c r="S176" t="s">
        <v>74</v>
      </c>
      <c r="T176" t="s">
        <v>74</v>
      </c>
      <c r="U176" t="s">
        <v>2671</v>
      </c>
      <c r="V176" t="s">
        <v>2672</v>
      </c>
      <c r="W176" t="s">
        <v>2673</v>
      </c>
      <c r="X176" t="s">
        <v>2674</v>
      </c>
      <c r="Y176" t="s">
        <v>2675</v>
      </c>
      <c r="Z176" t="s">
        <v>2676</v>
      </c>
      <c r="AA176" t="s">
        <v>74</v>
      </c>
      <c r="AB176" t="s">
        <v>74</v>
      </c>
      <c r="AC176" t="s">
        <v>74</v>
      </c>
      <c r="AD176" t="s">
        <v>74</v>
      </c>
      <c r="AE176" t="s">
        <v>74</v>
      </c>
      <c r="AF176" t="s">
        <v>74</v>
      </c>
      <c r="AG176">
        <v>23</v>
      </c>
      <c r="AH176">
        <v>3</v>
      </c>
      <c r="AI176">
        <v>3</v>
      </c>
      <c r="AJ176">
        <v>0</v>
      </c>
      <c r="AK176">
        <v>2</v>
      </c>
      <c r="AL176" t="s">
        <v>230</v>
      </c>
      <c r="AM176" t="s">
        <v>231</v>
      </c>
      <c r="AN176" t="s">
        <v>232</v>
      </c>
      <c r="AO176" t="s">
        <v>233</v>
      </c>
      <c r="AP176" t="s">
        <v>317</v>
      </c>
      <c r="AQ176" t="s">
        <v>74</v>
      </c>
      <c r="AR176" t="s">
        <v>234</v>
      </c>
      <c r="AS176" t="s">
        <v>235</v>
      </c>
      <c r="AT176" t="s">
        <v>2652</v>
      </c>
      <c r="AU176">
        <v>1999</v>
      </c>
      <c r="AV176">
        <v>104</v>
      </c>
      <c r="AW176" t="s">
        <v>2653</v>
      </c>
      <c r="AX176" t="s">
        <v>74</v>
      </c>
      <c r="AY176" t="s">
        <v>74</v>
      </c>
      <c r="AZ176" t="s">
        <v>74</v>
      </c>
      <c r="BA176" t="s">
        <v>74</v>
      </c>
      <c r="BB176">
        <v>21579</v>
      </c>
      <c r="BC176">
        <v>21584</v>
      </c>
      <c r="BD176" t="s">
        <v>74</v>
      </c>
      <c r="BE176" t="s">
        <v>2677</v>
      </c>
      <c r="BF176" t="str">
        <f>HYPERLINK("http://dx.doi.org/10.1029/1999JD900355","http://dx.doi.org/10.1029/1999JD900355")</f>
        <v>http://dx.doi.org/10.1029/1999JD900355</v>
      </c>
      <c r="BG176" t="s">
        <v>74</v>
      </c>
      <c r="BH176" t="s">
        <v>74</v>
      </c>
      <c r="BI176">
        <v>6</v>
      </c>
      <c r="BJ176" t="s">
        <v>95</v>
      </c>
      <c r="BK176" t="s">
        <v>96</v>
      </c>
      <c r="BL176" t="s">
        <v>95</v>
      </c>
      <c r="BM176" t="s">
        <v>2655</v>
      </c>
      <c r="BN176" t="s">
        <v>74</v>
      </c>
      <c r="BO176" t="s">
        <v>74</v>
      </c>
      <c r="BP176" t="s">
        <v>74</v>
      </c>
      <c r="BQ176" t="s">
        <v>74</v>
      </c>
      <c r="BR176" t="s">
        <v>99</v>
      </c>
      <c r="BS176" t="s">
        <v>2678</v>
      </c>
      <c r="BT176" t="str">
        <f>HYPERLINK("https%3A%2F%2Fwww.webofscience.com%2Fwos%2Fwoscc%2Ffull-record%2FWOS:000082690200025","View Full Record in Web of Science")</f>
        <v>View Full Record in Web of Science</v>
      </c>
    </row>
    <row r="177" spans="1:72" x14ac:dyDescent="0.15">
      <c r="A177" t="s">
        <v>72</v>
      </c>
      <c r="B177" t="s">
        <v>2679</v>
      </c>
      <c r="C177" t="s">
        <v>74</v>
      </c>
      <c r="D177" t="s">
        <v>74</v>
      </c>
      <c r="E177" t="s">
        <v>74</v>
      </c>
      <c r="F177" t="s">
        <v>2679</v>
      </c>
      <c r="G177" t="s">
        <v>74</v>
      </c>
      <c r="H177" t="s">
        <v>74</v>
      </c>
      <c r="I177" t="s">
        <v>2680</v>
      </c>
      <c r="J177" t="s">
        <v>359</v>
      </c>
      <c r="K177" t="s">
        <v>74</v>
      </c>
      <c r="L177" t="s">
        <v>74</v>
      </c>
      <c r="M177" t="s">
        <v>77</v>
      </c>
      <c r="N177" t="s">
        <v>78</v>
      </c>
      <c r="O177" t="s">
        <v>74</v>
      </c>
      <c r="P177" t="s">
        <v>74</v>
      </c>
      <c r="Q177" t="s">
        <v>74</v>
      </c>
      <c r="R177" t="s">
        <v>74</v>
      </c>
      <c r="S177" t="s">
        <v>74</v>
      </c>
      <c r="T177" t="s">
        <v>74</v>
      </c>
      <c r="U177" t="s">
        <v>2681</v>
      </c>
      <c r="V177" t="s">
        <v>2682</v>
      </c>
      <c r="W177" t="s">
        <v>2683</v>
      </c>
      <c r="X177" t="s">
        <v>2684</v>
      </c>
      <c r="Y177" t="s">
        <v>2685</v>
      </c>
      <c r="Z177" t="s">
        <v>74</v>
      </c>
      <c r="AA177" t="s">
        <v>74</v>
      </c>
      <c r="AB177" t="s">
        <v>74</v>
      </c>
      <c r="AC177" t="s">
        <v>74</v>
      </c>
      <c r="AD177" t="s">
        <v>74</v>
      </c>
      <c r="AE177" t="s">
        <v>74</v>
      </c>
      <c r="AF177" t="s">
        <v>74</v>
      </c>
      <c r="AG177">
        <v>52</v>
      </c>
      <c r="AH177">
        <v>22</v>
      </c>
      <c r="AI177">
        <v>25</v>
      </c>
      <c r="AJ177">
        <v>0</v>
      </c>
      <c r="AK177">
        <v>6</v>
      </c>
      <c r="AL177" t="s">
        <v>365</v>
      </c>
      <c r="AM177" t="s">
        <v>231</v>
      </c>
      <c r="AN177" t="s">
        <v>366</v>
      </c>
      <c r="AO177" t="s">
        <v>367</v>
      </c>
      <c r="AP177" t="s">
        <v>74</v>
      </c>
      <c r="AQ177" t="s">
        <v>74</v>
      </c>
      <c r="AR177" t="s">
        <v>368</v>
      </c>
      <c r="AS177" t="s">
        <v>369</v>
      </c>
      <c r="AT177" t="s">
        <v>2686</v>
      </c>
      <c r="AU177">
        <v>1999</v>
      </c>
      <c r="AV177">
        <v>103</v>
      </c>
      <c r="AW177">
        <v>37</v>
      </c>
      <c r="AX177" t="s">
        <v>74</v>
      </c>
      <c r="AY177" t="s">
        <v>74</v>
      </c>
      <c r="AZ177" t="s">
        <v>74</v>
      </c>
      <c r="BA177" t="s">
        <v>74</v>
      </c>
      <c r="BB177">
        <v>7460</v>
      </c>
      <c r="BC177">
        <v>7469</v>
      </c>
      <c r="BD177" t="s">
        <v>74</v>
      </c>
      <c r="BE177" t="s">
        <v>2687</v>
      </c>
      <c r="BF177" t="str">
        <f>HYPERLINK("http://dx.doi.org/10.1021/jp9913259","http://dx.doi.org/10.1021/jp9913259")</f>
        <v>http://dx.doi.org/10.1021/jp9913259</v>
      </c>
      <c r="BG177" t="s">
        <v>74</v>
      </c>
      <c r="BH177" t="s">
        <v>74</v>
      </c>
      <c r="BI177">
        <v>10</v>
      </c>
      <c r="BJ177" t="s">
        <v>372</v>
      </c>
      <c r="BK177" t="s">
        <v>96</v>
      </c>
      <c r="BL177" t="s">
        <v>373</v>
      </c>
      <c r="BM177" t="s">
        <v>2688</v>
      </c>
      <c r="BN177" t="s">
        <v>74</v>
      </c>
      <c r="BO177" t="s">
        <v>74</v>
      </c>
      <c r="BP177" t="s">
        <v>74</v>
      </c>
      <c r="BQ177" t="s">
        <v>74</v>
      </c>
      <c r="BR177" t="s">
        <v>99</v>
      </c>
      <c r="BS177" t="s">
        <v>2689</v>
      </c>
      <c r="BT177" t="str">
        <f>HYPERLINK("https%3A%2F%2Fwww.webofscience.com%2Fwos%2Fwoscc%2Ffull-record%2FWOS:000082706800011","View Full Record in Web of Science")</f>
        <v>View Full Record in Web of Science</v>
      </c>
    </row>
    <row r="178" spans="1:72" x14ac:dyDescent="0.15">
      <c r="A178" t="s">
        <v>72</v>
      </c>
      <c r="B178" t="s">
        <v>2690</v>
      </c>
      <c r="C178" t="s">
        <v>74</v>
      </c>
      <c r="D178" t="s">
        <v>74</v>
      </c>
      <c r="E178" t="s">
        <v>74</v>
      </c>
      <c r="F178" t="s">
        <v>2690</v>
      </c>
      <c r="G178" t="s">
        <v>74</v>
      </c>
      <c r="H178" t="s">
        <v>74</v>
      </c>
      <c r="I178" t="s">
        <v>2691</v>
      </c>
      <c r="J178" t="s">
        <v>2692</v>
      </c>
      <c r="K178" t="s">
        <v>74</v>
      </c>
      <c r="L178" t="s">
        <v>74</v>
      </c>
      <c r="M178" t="s">
        <v>77</v>
      </c>
      <c r="N178" t="s">
        <v>205</v>
      </c>
      <c r="O178" t="s">
        <v>74</v>
      </c>
      <c r="P178" t="s">
        <v>74</v>
      </c>
      <c r="Q178" t="s">
        <v>74</v>
      </c>
      <c r="R178" t="s">
        <v>74</v>
      </c>
      <c r="S178" t="s">
        <v>74</v>
      </c>
      <c r="T178" t="s">
        <v>74</v>
      </c>
      <c r="U178" t="s">
        <v>74</v>
      </c>
      <c r="V178" t="s">
        <v>74</v>
      </c>
      <c r="W178" t="s">
        <v>74</v>
      </c>
      <c r="X178" t="s">
        <v>74</v>
      </c>
      <c r="Y178" t="s">
        <v>74</v>
      </c>
      <c r="Z178" t="s">
        <v>74</v>
      </c>
      <c r="AA178" t="s">
        <v>74</v>
      </c>
      <c r="AB178" t="s">
        <v>74</v>
      </c>
      <c r="AC178" t="s">
        <v>74</v>
      </c>
      <c r="AD178" t="s">
        <v>74</v>
      </c>
      <c r="AE178" t="s">
        <v>74</v>
      </c>
      <c r="AF178" t="s">
        <v>74</v>
      </c>
      <c r="AG178">
        <v>1</v>
      </c>
      <c r="AH178">
        <v>2</v>
      </c>
      <c r="AI178">
        <v>2</v>
      </c>
      <c r="AJ178">
        <v>0</v>
      </c>
      <c r="AK178">
        <v>1</v>
      </c>
      <c r="AL178" t="s">
        <v>2693</v>
      </c>
      <c r="AM178" t="s">
        <v>531</v>
      </c>
      <c r="AN178" t="s">
        <v>2694</v>
      </c>
      <c r="AO178" t="s">
        <v>2695</v>
      </c>
      <c r="AP178" t="s">
        <v>74</v>
      </c>
      <c r="AQ178" t="s">
        <v>74</v>
      </c>
      <c r="AR178" t="s">
        <v>2692</v>
      </c>
      <c r="AS178" t="s">
        <v>2696</v>
      </c>
      <c r="AT178" t="s">
        <v>2686</v>
      </c>
      <c r="AU178">
        <v>1999</v>
      </c>
      <c r="AV178">
        <v>401</v>
      </c>
      <c r="AW178">
        <v>6750</v>
      </c>
      <c r="AX178" t="s">
        <v>74</v>
      </c>
      <c r="AY178" t="s">
        <v>74</v>
      </c>
      <c r="AZ178" t="s">
        <v>74</v>
      </c>
      <c r="BA178" t="s">
        <v>74</v>
      </c>
      <c r="BB178">
        <v>203</v>
      </c>
      <c r="BC178">
        <v>203</v>
      </c>
      <c r="BD178" t="s">
        <v>74</v>
      </c>
      <c r="BE178" t="s">
        <v>2697</v>
      </c>
      <c r="BF178" t="str">
        <f>HYPERLINK("http://dx.doi.org/10.1038/45647","http://dx.doi.org/10.1038/45647")</f>
        <v>http://dx.doi.org/10.1038/45647</v>
      </c>
      <c r="BG178" t="s">
        <v>74</v>
      </c>
      <c r="BH178" t="s">
        <v>74</v>
      </c>
      <c r="BI178">
        <v>1</v>
      </c>
      <c r="BJ178" t="s">
        <v>303</v>
      </c>
      <c r="BK178" t="s">
        <v>96</v>
      </c>
      <c r="BL178" t="s">
        <v>304</v>
      </c>
      <c r="BM178" t="s">
        <v>2698</v>
      </c>
      <c r="BN178" t="s">
        <v>74</v>
      </c>
      <c r="BO178" t="s">
        <v>250</v>
      </c>
      <c r="BP178" t="s">
        <v>74</v>
      </c>
      <c r="BQ178" t="s">
        <v>74</v>
      </c>
      <c r="BR178" t="s">
        <v>99</v>
      </c>
      <c r="BS178" t="s">
        <v>2699</v>
      </c>
      <c r="BT178" t="str">
        <f>HYPERLINK("https%3A%2F%2Fwww.webofscience.com%2Fwos%2Fwoscc%2Ffull-record%2FWOS:000082678400015","View Full Record in Web of Science")</f>
        <v>View Full Record in Web of Science</v>
      </c>
    </row>
    <row r="179" spans="1:72" x14ac:dyDescent="0.15">
      <c r="A179" t="s">
        <v>72</v>
      </c>
      <c r="B179" t="s">
        <v>2700</v>
      </c>
      <c r="C179" t="s">
        <v>74</v>
      </c>
      <c r="D179" t="s">
        <v>74</v>
      </c>
      <c r="E179" t="s">
        <v>74</v>
      </c>
      <c r="F179" t="s">
        <v>2700</v>
      </c>
      <c r="G179" t="s">
        <v>74</v>
      </c>
      <c r="H179" t="s">
        <v>74</v>
      </c>
      <c r="I179" t="s">
        <v>2701</v>
      </c>
      <c r="J179" t="s">
        <v>2702</v>
      </c>
      <c r="K179" t="s">
        <v>74</v>
      </c>
      <c r="L179" t="s">
        <v>74</v>
      </c>
      <c r="M179" t="s">
        <v>77</v>
      </c>
      <c r="N179" t="s">
        <v>78</v>
      </c>
      <c r="O179" t="s">
        <v>74</v>
      </c>
      <c r="P179" t="s">
        <v>74</v>
      </c>
      <c r="Q179" t="s">
        <v>74</v>
      </c>
      <c r="R179" t="s">
        <v>74</v>
      </c>
      <c r="S179" t="s">
        <v>74</v>
      </c>
      <c r="T179" t="s">
        <v>2703</v>
      </c>
      <c r="U179" t="s">
        <v>2704</v>
      </c>
      <c r="V179" t="s">
        <v>2705</v>
      </c>
      <c r="W179" t="s">
        <v>2706</v>
      </c>
      <c r="X179" t="s">
        <v>2707</v>
      </c>
      <c r="Y179" t="s">
        <v>2708</v>
      </c>
      <c r="Z179" t="s">
        <v>74</v>
      </c>
      <c r="AA179" t="s">
        <v>2709</v>
      </c>
      <c r="AB179" t="s">
        <v>2710</v>
      </c>
      <c r="AC179" t="s">
        <v>74</v>
      </c>
      <c r="AD179" t="s">
        <v>74</v>
      </c>
      <c r="AE179" t="s">
        <v>74</v>
      </c>
      <c r="AF179" t="s">
        <v>74</v>
      </c>
      <c r="AG179">
        <v>26</v>
      </c>
      <c r="AH179">
        <v>2</v>
      </c>
      <c r="AI179">
        <v>3</v>
      </c>
      <c r="AJ179">
        <v>1</v>
      </c>
      <c r="AK179">
        <v>6</v>
      </c>
      <c r="AL179" t="s">
        <v>2711</v>
      </c>
      <c r="AM179" t="s">
        <v>2712</v>
      </c>
      <c r="AN179" t="s">
        <v>2713</v>
      </c>
      <c r="AO179" t="s">
        <v>2714</v>
      </c>
      <c r="AP179" t="s">
        <v>74</v>
      </c>
      <c r="AQ179" t="s">
        <v>74</v>
      </c>
      <c r="AR179" t="s">
        <v>2715</v>
      </c>
      <c r="AS179" t="s">
        <v>2716</v>
      </c>
      <c r="AT179" t="s">
        <v>2717</v>
      </c>
      <c r="AU179">
        <v>1999</v>
      </c>
      <c r="AV179">
        <v>329</v>
      </c>
      <c r="AW179">
        <v>5</v>
      </c>
      <c r="AX179" t="s">
        <v>74</v>
      </c>
      <c r="AY179" t="s">
        <v>74</v>
      </c>
      <c r="AZ179" t="s">
        <v>74</v>
      </c>
      <c r="BA179" t="s">
        <v>74</v>
      </c>
      <c r="BB179">
        <v>345</v>
      </c>
      <c r="BC179">
        <v>350</v>
      </c>
      <c r="BD179" t="s">
        <v>74</v>
      </c>
      <c r="BE179" t="s">
        <v>2718</v>
      </c>
      <c r="BF179" t="str">
        <f>HYPERLINK("http://dx.doi.org/10.1016/S1251-8050(00)88585-7","http://dx.doi.org/10.1016/S1251-8050(00)88585-7")</f>
        <v>http://dx.doi.org/10.1016/S1251-8050(00)88585-7</v>
      </c>
      <c r="BG179" t="s">
        <v>74</v>
      </c>
      <c r="BH179" t="s">
        <v>74</v>
      </c>
      <c r="BI179">
        <v>6</v>
      </c>
      <c r="BJ179" t="s">
        <v>387</v>
      </c>
      <c r="BK179" t="s">
        <v>96</v>
      </c>
      <c r="BL179" t="s">
        <v>388</v>
      </c>
      <c r="BM179" t="s">
        <v>2719</v>
      </c>
      <c r="BN179" t="s">
        <v>74</v>
      </c>
      <c r="BO179" t="s">
        <v>74</v>
      </c>
      <c r="BP179" t="s">
        <v>74</v>
      </c>
      <c r="BQ179" t="s">
        <v>74</v>
      </c>
      <c r="BR179" t="s">
        <v>99</v>
      </c>
      <c r="BS179" t="s">
        <v>2720</v>
      </c>
      <c r="BT179" t="str">
        <f>HYPERLINK("https%3A%2F%2Fwww.webofscience.com%2Fwos%2Fwoscc%2Ffull-record%2FWOS:000082621100006","View Full Record in Web of Science")</f>
        <v>View Full Record in Web of Science</v>
      </c>
    </row>
    <row r="180" spans="1:72" x14ac:dyDescent="0.15">
      <c r="A180" t="s">
        <v>72</v>
      </c>
      <c r="B180" t="s">
        <v>2721</v>
      </c>
      <c r="C180" t="s">
        <v>74</v>
      </c>
      <c r="D180" t="s">
        <v>74</v>
      </c>
      <c r="E180" t="s">
        <v>74</v>
      </c>
      <c r="F180" t="s">
        <v>2721</v>
      </c>
      <c r="G180" t="s">
        <v>74</v>
      </c>
      <c r="H180" t="s">
        <v>74</v>
      </c>
      <c r="I180" t="s">
        <v>2722</v>
      </c>
      <c r="J180" t="s">
        <v>1600</v>
      </c>
      <c r="K180" t="s">
        <v>74</v>
      </c>
      <c r="L180" t="s">
        <v>74</v>
      </c>
      <c r="M180" t="s">
        <v>77</v>
      </c>
      <c r="N180" t="s">
        <v>78</v>
      </c>
      <c r="O180" t="s">
        <v>74</v>
      </c>
      <c r="P180" t="s">
        <v>74</v>
      </c>
      <c r="Q180" t="s">
        <v>74</v>
      </c>
      <c r="R180" t="s">
        <v>74</v>
      </c>
      <c r="S180" t="s">
        <v>74</v>
      </c>
      <c r="T180" t="s">
        <v>2723</v>
      </c>
      <c r="U180" t="s">
        <v>2724</v>
      </c>
      <c r="V180" t="s">
        <v>2725</v>
      </c>
      <c r="W180" t="s">
        <v>2726</v>
      </c>
      <c r="X180" t="s">
        <v>2727</v>
      </c>
      <c r="Y180" t="s">
        <v>2728</v>
      </c>
      <c r="Z180" t="s">
        <v>74</v>
      </c>
      <c r="AA180" t="s">
        <v>74</v>
      </c>
      <c r="AB180" t="s">
        <v>74</v>
      </c>
      <c r="AC180" t="s">
        <v>74</v>
      </c>
      <c r="AD180" t="s">
        <v>74</v>
      </c>
      <c r="AE180" t="s">
        <v>74</v>
      </c>
      <c r="AF180" t="s">
        <v>74</v>
      </c>
      <c r="AG180">
        <v>25</v>
      </c>
      <c r="AH180">
        <v>4</v>
      </c>
      <c r="AI180">
        <v>4</v>
      </c>
      <c r="AJ180">
        <v>0</v>
      </c>
      <c r="AK180">
        <v>0</v>
      </c>
      <c r="AL180" t="s">
        <v>210</v>
      </c>
      <c r="AM180" t="s">
        <v>211</v>
      </c>
      <c r="AN180" t="s">
        <v>212</v>
      </c>
      <c r="AO180" t="s">
        <v>1609</v>
      </c>
      <c r="AP180" t="s">
        <v>74</v>
      </c>
      <c r="AQ180" t="s">
        <v>74</v>
      </c>
      <c r="AR180" t="s">
        <v>1611</v>
      </c>
      <c r="AS180" t="s">
        <v>1612</v>
      </c>
      <c r="AT180" t="s">
        <v>2717</v>
      </c>
      <c r="AU180">
        <v>1999</v>
      </c>
      <c r="AV180">
        <v>171</v>
      </c>
      <c r="AW180">
        <v>3</v>
      </c>
      <c r="AX180" t="s">
        <v>74</v>
      </c>
      <c r="AY180" t="s">
        <v>74</v>
      </c>
      <c r="AZ180" t="s">
        <v>74</v>
      </c>
      <c r="BA180" t="s">
        <v>74</v>
      </c>
      <c r="BB180">
        <v>481</v>
      </c>
      <c r="BC180">
        <v>487</v>
      </c>
      <c r="BD180" t="s">
        <v>74</v>
      </c>
      <c r="BE180" t="s">
        <v>2729</v>
      </c>
      <c r="BF180" t="str">
        <f>HYPERLINK("http://dx.doi.org/10.1016/S0012-821X(99)00163-6","http://dx.doi.org/10.1016/S0012-821X(99)00163-6")</f>
        <v>http://dx.doi.org/10.1016/S0012-821X(99)00163-6</v>
      </c>
      <c r="BG180" t="s">
        <v>74</v>
      </c>
      <c r="BH180" t="s">
        <v>74</v>
      </c>
      <c r="BI180">
        <v>7</v>
      </c>
      <c r="BJ180" t="s">
        <v>216</v>
      </c>
      <c r="BK180" t="s">
        <v>96</v>
      </c>
      <c r="BL180" t="s">
        <v>216</v>
      </c>
      <c r="BM180" t="s">
        <v>2730</v>
      </c>
      <c r="BN180" t="s">
        <v>74</v>
      </c>
      <c r="BO180" t="s">
        <v>74</v>
      </c>
      <c r="BP180" t="s">
        <v>74</v>
      </c>
      <c r="BQ180" t="s">
        <v>74</v>
      </c>
      <c r="BR180" t="s">
        <v>99</v>
      </c>
      <c r="BS180" t="s">
        <v>2731</v>
      </c>
      <c r="BT180" t="str">
        <f>HYPERLINK("https%3A%2F%2Fwww.webofscience.com%2Fwos%2Fwoscc%2Ffull-record%2FWOS:000082374200015","View Full Record in Web of Science")</f>
        <v>View Full Record in Web of Science</v>
      </c>
    </row>
    <row r="181" spans="1:72" x14ac:dyDescent="0.15">
      <c r="A181" t="s">
        <v>72</v>
      </c>
      <c r="B181" t="s">
        <v>2732</v>
      </c>
      <c r="C181" t="s">
        <v>74</v>
      </c>
      <c r="D181" t="s">
        <v>74</v>
      </c>
      <c r="E181" t="s">
        <v>74</v>
      </c>
      <c r="F181" t="s">
        <v>2732</v>
      </c>
      <c r="G181" t="s">
        <v>74</v>
      </c>
      <c r="H181" t="s">
        <v>74</v>
      </c>
      <c r="I181" t="s">
        <v>2733</v>
      </c>
      <c r="J181" t="s">
        <v>378</v>
      </c>
      <c r="K181" t="s">
        <v>74</v>
      </c>
      <c r="L181" t="s">
        <v>74</v>
      </c>
      <c r="M181" t="s">
        <v>77</v>
      </c>
      <c r="N181" t="s">
        <v>78</v>
      </c>
      <c r="O181" t="s">
        <v>74</v>
      </c>
      <c r="P181" t="s">
        <v>74</v>
      </c>
      <c r="Q181" t="s">
        <v>74</v>
      </c>
      <c r="R181" t="s">
        <v>74</v>
      </c>
      <c r="S181" t="s">
        <v>74</v>
      </c>
      <c r="T181" t="s">
        <v>74</v>
      </c>
      <c r="U181" t="s">
        <v>2734</v>
      </c>
      <c r="V181" t="s">
        <v>2735</v>
      </c>
      <c r="W181" t="s">
        <v>2736</v>
      </c>
      <c r="X181" t="s">
        <v>1973</v>
      </c>
      <c r="Y181" t="s">
        <v>2737</v>
      </c>
      <c r="Z181" t="s">
        <v>74</v>
      </c>
      <c r="AA181" t="s">
        <v>2738</v>
      </c>
      <c r="AB181" t="s">
        <v>2739</v>
      </c>
      <c r="AC181" t="s">
        <v>74</v>
      </c>
      <c r="AD181" t="s">
        <v>74</v>
      </c>
      <c r="AE181" t="s">
        <v>74</v>
      </c>
      <c r="AF181" t="s">
        <v>74</v>
      </c>
      <c r="AG181">
        <v>18</v>
      </c>
      <c r="AH181">
        <v>25</v>
      </c>
      <c r="AI181">
        <v>29</v>
      </c>
      <c r="AJ181">
        <v>0</v>
      </c>
      <c r="AK181">
        <v>5</v>
      </c>
      <c r="AL181" t="s">
        <v>230</v>
      </c>
      <c r="AM181" t="s">
        <v>231</v>
      </c>
      <c r="AN181" t="s">
        <v>232</v>
      </c>
      <c r="AO181" t="s">
        <v>382</v>
      </c>
      <c r="AP181" t="s">
        <v>74</v>
      </c>
      <c r="AQ181" t="s">
        <v>74</v>
      </c>
      <c r="AR181" t="s">
        <v>383</v>
      </c>
      <c r="AS181" t="s">
        <v>384</v>
      </c>
      <c r="AT181" t="s">
        <v>2717</v>
      </c>
      <c r="AU181">
        <v>1999</v>
      </c>
      <c r="AV181">
        <v>26</v>
      </c>
      <c r="AW181">
        <v>18</v>
      </c>
      <c r="AX181" t="s">
        <v>74</v>
      </c>
      <c r="AY181" t="s">
        <v>74</v>
      </c>
      <c r="AZ181" t="s">
        <v>74</v>
      </c>
      <c r="BA181" t="s">
        <v>74</v>
      </c>
      <c r="BB181">
        <v>2853</v>
      </c>
      <c r="BC181">
        <v>2856</v>
      </c>
      <c r="BD181" t="s">
        <v>74</v>
      </c>
      <c r="BE181" t="s">
        <v>2740</v>
      </c>
      <c r="BF181" t="str">
        <f>HYPERLINK("http://dx.doi.org/10.1029/1999GL900608","http://dx.doi.org/10.1029/1999GL900608")</f>
        <v>http://dx.doi.org/10.1029/1999GL900608</v>
      </c>
      <c r="BG181" t="s">
        <v>74</v>
      </c>
      <c r="BH181" t="s">
        <v>74</v>
      </c>
      <c r="BI181">
        <v>4</v>
      </c>
      <c r="BJ181" t="s">
        <v>387</v>
      </c>
      <c r="BK181" t="s">
        <v>96</v>
      </c>
      <c r="BL181" t="s">
        <v>388</v>
      </c>
      <c r="BM181" t="s">
        <v>2741</v>
      </c>
      <c r="BN181" t="s">
        <v>74</v>
      </c>
      <c r="BO181" t="s">
        <v>250</v>
      </c>
      <c r="BP181" t="s">
        <v>74</v>
      </c>
      <c r="BQ181" t="s">
        <v>74</v>
      </c>
      <c r="BR181" t="s">
        <v>99</v>
      </c>
      <c r="BS181" t="s">
        <v>2742</v>
      </c>
      <c r="BT181" t="str">
        <f>HYPERLINK("https%3A%2F%2Fwww.webofscience.com%2Fwos%2Fwoscc%2Ffull-record%2FWOS:000082680300019","View Full Record in Web of Science")</f>
        <v>View Full Record in Web of Science</v>
      </c>
    </row>
    <row r="182" spans="1:72" x14ac:dyDescent="0.15">
      <c r="A182" t="s">
        <v>72</v>
      </c>
      <c r="B182" t="s">
        <v>2743</v>
      </c>
      <c r="C182" t="s">
        <v>74</v>
      </c>
      <c r="D182" t="s">
        <v>74</v>
      </c>
      <c r="E182" t="s">
        <v>74</v>
      </c>
      <c r="F182" t="s">
        <v>2743</v>
      </c>
      <c r="G182" t="s">
        <v>74</v>
      </c>
      <c r="H182" t="s">
        <v>74</v>
      </c>
      <c r="I182" t="s">
        <v>2744</v>
      </c>
      <c r="J182" t="s">
        <v>378</v>
      </c>
      <c r="K182" t="s">
        <v>74</v>
      </c>
      <c r="L182" t="s">
        <v>74</v>
      </c>
      <c r="M182" t="s">
        <v>77</v>
      </c>
      <c r="N182" t="s">
        <v>78</v>
      </c>
      <c r="O182" t="s">
        <v>74</v>
      </c>
      <c r="P182" t="s">
        <v>74</v>
      </c>
      <c r="Q182" t="s">
        <v>74</v>
      </c>
      <c r="R182" t="s">
        <v>74</v>
      </c>
      <c r="S182" t="s">
        <v>74</v>
      </c>
      <c r="T182" t="s">
        <v>74</v>
      </c>
      <c r="U182" t="s">
        <v>2745</v>
      </c>
      <c r="V182" t="s">
        <v>2746</v>
      </c>
      <c r="W182" t="s">
        <v>2747</v>
      </c>
      <c r="X182" t="s">
        <v>2748</v>
      </c>
      <c r="Y182" t="s">
        <v>2749</v>
      </c>
      <c r="Z182" t="s">
        <v>2750</v>
      </c>
      <c r="AA182" t="s">
        <v>2751</v>
      </c>
      <c r="AB182" t="s">
        <v>2752</v>
      </c>
      <c r="AC182" t="s">
        <v>74</v>
      </c>
      <c r="AD182" t="s">
        <v>74</v>
      </c>
      <c r="AE182" t="s">
        <v>74</v>
      </c>
      <c r="AF182" t="s">
        <v>74</v>
      </c>
      <c r="AG182">
        <v>22</v>
      </c>
      <c r="AH182">
        <v>103</v>
      </c>
      <c r="AI182">
        <v>107</v>
      </c>
      <c r="AJ182">
        <v>1</v>
      </c>
      <c r="AK182">
        <v>9</v>
      </c>
      <c r="AL182" t="s">
        <v>230</v>
      </c>
      <c r="AM182" t="s">
        <v>231</v>
      </c>
      <c r="AN182" t="s">
        <v>232</v>
      </c>
      <c r="AO182" t="s">
        <v>382</v>
      </c>
      <c r="AP182" t="s">
        <v>2753</v>
      </c>
      <c r="AQ182" t="s">
        <v>74</v>
      </c>
      <c r="AR182" t="s">
        <v>383</v>
      </c>
      <c r="AS182" t="s">
        <v>384</v>
      </c>
      <c r="AT182" t="s">
        <v>2717</v>
      </c>
      <c r="AU182">
        <v>1999</v>
      </c>
      <c r="AV182">
        <v>26</v>
      </c>
      <c r="AW182">
        <v>18</v>
      </c>
      <c r="AX182" t="s">
        <v>74</v>
      </c>
      <c r="AY182" t="s">
        <v>74</v>
      </c>
      <c r="AZ182" t="s">
        <v>74</v>
      </c>
      <c r="BA182" t="s">
        <v>74</v>
      </c>
      <c r="BB182">
        <v>2865</v>
      </c>
      <c r="BC182">
        <v>2868</v>
      </c>
      <c r="BD182" t="s">
        <v>74</v>
      </c>
      <c r="BE182" t="s">
        <v>2754</v>
      </c>
      <c r="BF182" t="str">
        <f>HYPERLINK("http://dx.doi.org/10.1029/1998GL002284","http://dx.doi.org/10.1029/1998GL002284")</f>
        <v>http://dx.doi.org/10.1029/1998GL002284</v>
      </c>
      <c r="BG182" t="s">
        <v>74</v>
      </c>
      <c r="BH182" t="s">
        <v>74</v>
      </c>
      <c r="BI182">
        <v>4</v>
      </c>
      <c r="BJ182" t="s">
        <v>387</v>
      </c>
      <c r="BK182" t="s">
        <v>96</v>
      </c>
      <c r="BL182" t="s">
        <v>388</v>
      </c>
      <c r="BM182" t="s">
        <v>2741</v>
      </c>
      <c r="BN182" t="s">
        <v>74</v>
      </c>
      <c r="BO182" t="s">
        <v>2755</v>
      </c>
      <c r="BP182" t="s">
        <v>74</v>
      </c>
      <c r="BQ182" t="s">
        <v>74</v>
      </c>
      <c r="BR182" t="s">
        <v>99</v>
      </c>
      <c r="BS182" t="s">
        <v>2756</v>
      </c>
      <c r="BT182" t="str">
        <f>HYPERLINK("https%3A%2F%2Fwww.webofscience.com%2Fwos%2Fwoscc%2Ffull-record%2FWOS:000082680300022","View Full Record in Web of Science")</f>
        <v>View Full Record in Web of Science</v>
      </c>
    </row>
    <row r="183" spans="1:72" x14ac:dyDescent="0.15">
      <c r="A183" t="s">
        <v>72</v>
      </c>
      <c r="B183" t="s">
        <v>2757</v>
      </c>
      <c r="C183" t="s">
        <v>74</v>
      </c>
      <c r="D183" t="s">
        <v>74</v>
      </c>
      <c r="E183" t="s">
        <v>74</v>
      </c>
      <c r="F183" t="s">
        <v>2757</v>
      </c>
      <c r="G183" t="s">
        <v>74</v>
      </c>
      <c r="H183" t="s">
        <v>74</v>
      </c>
      <c r="I183" t="s">
        <v>2758</v>
      </c>
      <c r="J183" t="s">
        <v>403</v>
      </c>
      <c r="K183" t="s">
        <v>74</v>
      </c>
      <c r="L183" t="s">
        <v>74</v>
      </c>
      <c r="M183" t="s">
        <v>77</v>
      </c>
      <c r="N183" t="s">
        <v>78</v>
      </c>
      <c r="O183" t="s">
        <v>74</v>
      </c>
      <c r="P183" t="s">
        <v>74</v>
      </c>
      <c r="Q183" t="s">
        <v>74</v>
      </c>
      <c r="R183" t="s">
        <v>74</v>
      </c>
      <c r="S183" t="s">
        <v>74</v>
      </c>
      <c r="T183" t="s">
        <v>74</v>
      </c>
      <c r="U183" t="s">
        <v>2759</v>
      </c>
      <c r="V183" t="s">
        <v>2760</v>
      </c>
      <c r="W183" t="s">
        <v>2761</v>
      </c>
      <c r="X183" t="s">
        <v>2762</v>
      </c>
      <c r="Y183" t="s">
        <v>2763</v>
      </c>
      <c r="Z183" t="s">
        <v>2764</v>
      </c>
      <c r="AA183" t="s">
        <v>74</v>
      </c>
      <c r="AB183" t="s">
        <v>74</v>
      </c>
      <c r="AC183" t="s">
        <v>74</v>
      </c>
      <c r="AD183" t="s">
        <v>74</v>
      </c>
      <c r="AE183" t="s">
        <v>74</v>
      </c>
      <c r="AF183" t="s">
        <v>74</v>
      </c>
      <c r="AG183">
        <v>53</v>
      </c>
      <c r="AH183">
        <v>33</v>
      </c>
      <c r="AI183">
        <v>34</v>
      </c>
      <c r="AJ183">
        <v>0</v>
      </c>
      <c r="AK183">
        <v>6</v>
      </c>
      <c r="AL183" t="s">
        <v>230</v>
      </c>
      <c r="AM183" t="s">
        <v>231</v>
      </c>
      <c r="AN183" t="s">
        <v>232</v>
      </c>
      <c r="AO183" t="s">
        <v>410</v>
      </c>
      <c r="AP183" t="s">
        <v>411</v>
      </c>
      <c r="AQ183" t="s">
        <v>74</v>
      </c>
      <c r="AR183" t="s">
        <v>412</v>
      </c>
      <c r="AS183" t="s">
        <v>413</v>
      </c>
      <c r="AT183" t="s">
        <v>2717</v>
      </c>
      <c r="AU183">
        <v>1999</v>
      </c>
      <c r="AV183">
        <v>104</v>
      </c>
      <c r="AW183" t="s">
        <v>2765</v>
      </c>
      <c r="AX183" t="s">
        <v>74</v>
      </c>
      <c r="AY183" t="s">
        <v>74</v>
      </c>
      <c r="AZ183" t="s">
        <v>74</v>
      </c>
      <c r="BA183" t="s">
        <v>74</v>
      </c>
      <c r="BB183">
        <v>20651</v>
      </c>
      <c r="BC183">
        <v>20665</v>
      </c>
      <c r="BD183" t="s">
        <v>74</v>
      </c>
      <c r="BE183" t="s">
        <v>2766</v>
      </c>
      <c r="BF183" t="str">
        <f>HYPERLINK("http://dx.doi.org/10.1029/1999JC900136","http://dx.doi.org/10.1029/1999JC900136")</f>
        <v>http://dx.doi.org/10.1029/1999JC900136</v>
      </c>
      <c r="BG183" t="s">
        <v>74</v>
      </c>
      <c r="BH183" t="s">
        <v>74</v>
      </c>
      <c r="BI183">
        <v>15</v>
      </c>
      <c r="BJ183" t="s">
        <v>416</v>
      </c>
      <c r="BK183" t="s">
        <v>96</v>
      </c>
      <c r="BL183" t="s">
        <v>416</v>
      </c>
      <c r="BM183" t="s">
        <v>2767</v>
      </c>
      <c r="BN183" t="s">
        <v>74</v>
      </c>
      <c r="BO183" t="s">
        <v>74</v>
      </c>
      <c r="BP183" t="s">
        <v>74</v>
      </c>
      <c r="BQ183" t="s">
        <v>74</v>
      </c>
      <c r="BR183" t="s">
        <v>99</v>
      </c>
      <c r="BS183" t="s">
        <v>2768</v>
      </c>
      <c r="BT183" t="str">
        <f>HYPERLINK("https%3A%2F%2Fwww.webofscience.com%2Fwos%2Fwoscc%2Ffull-record%2FWOS:000083473200011","View Full Record in Web of Science")</f>
        <v>View Full Record in Web of Science</v>
      </c>
    </row>
    <row r="184" spans="1:72" x14ac:dyDescent="0.15">
      <c r="A184" t="s">
        <v>72</v>
      </c>
      <c r="B184" t="s">
        <v>2769</v>
      </c>
      <c r="C184" t="s">
        <v>74</v>
      </c>
      <c r="D184" t="s">
        <v>74</v>
      </c>
      <c r="E184" t="s">
        <v>74</v>
      </c>
      <c r="F184" t="s">
        <v>2769</v>
      </c>
      <c r="G184" t="s">
        <v>74</v>
      </c>
      <c r="H184" t="s">
        <v>74</v>
      </c>
      <c r="I184" t="s">
        <v>2770</v>
      </c>
      <c r="J184" t="s">
        <v>403</v>
      </c>
      <c r="K184" t="s">
        <v>74</v>
      </c>
      <c r="L184" t="s">
        <v>74</v>
      </c>
      <c r="M184" t="s">
        <v>77</v>
      </c>
      <c r="N184" t="s">
        <v>78</v>
      </c>
      <c r="O184" t="s">
        <v>74</v>
      </c>
      <c r="P184" t="s">
        <v>74</v>
      </c>
      <c r="Q184" t="s">
        <v>74</v>
      </c>
      <c r="R184" t="s">
        <v>74</v>
      </c>
      <c r="S184" t="s">
        <v>74</v>
      </c>
      <c r="T184" t="s">
        <v>74</v>
      </c>
      <c r="U184" t="s">
        <v>2771</v>
      </c>
      <c r="V184" t="s">
        <v>2772</v>
      </c>
      <c r="W184" t="s">
        <v>2773</v>
      </c>
      <c r="X184" t="s">
        <v>2774</v>
      </c>
      <c r="Y184" t="s">
        <v>2775</v>
      </c>
      <c r="Z184" t="s">
        <v>2776</v>
      </c>
      <c r="AA184" t="s">
        <v>74</v>
      </c>
      <c r="AB184" t="s">
        <v>74</v>
      </c>
      <c r="AC184" t="s">
        <v>74</v>
      </c>
      <c r="AD184" t="s">
        <v>74</v>
      </c>
      <c r="AE184" t="s">
        <v>74</v>
      </c>
      <c r="AF184" t="s">
        <v>74</v>
      </c>
      <c r="AG184">
        <v>72</v>
      </c>
      <c r="AH184">
        <v>138</v>
      </c>
      <c r="AI184">
        <v>141</v>
      </c>
      <c r="AJ184">
        <v>0</v>
      </c>
      <c r="AK184">
        <v>15</v>
      </c>
      <c r="AL184" t="s">
        <v>230</v>
      </c>
      <c r="AM184" t="s">
        <v>231</v>
      </c>
      <c r="AN184" t="s">
        <v>232</v>
      </c>
      <c r="AO184" t="s">
        <v>410</v>
      </c>
      <c r="AP184" t="s">
        <v>411</v>
      </c>
      <c r="AQ184" t="s">
        <v>74</v>
      </c>
      <c r="AR184" t="s">
        <v>412</v>
      </c>
      <c r="AS184" t="s">
        <v>413</v>
      </c>
      <c r="AT184" t="s">
        <v>2717</v>
      </c>
      <c r="AU184">
        <v>1999</v>
      </c>
      <c r="AV184">
        <v>104</v>
      </c>
      <c r="AW184" t="s">
        <v>2765</v>
      </c>
      <c r="AX184" t="s">
        <v>74</v>
      </c>
      <c r="AY184" t="s">
        <v>74</v>
      </c>
      <c r="AZ184" t="s">
        <v>74</v>
      </c>
      <c r="BA184" t="s">
        <v>74</v>
      </c>
      <c r="BB184">
        <v>20729</v>
      </c>
      <c r="BC184">
        <v>20751</v>
      </c>
      <c r="BD184" t="s">
        <v>74</v>
      </c>
      <c r="BE184" t="s">
        <v>2777</v>
      </c>
      <c r="BF184" t="str">
        <f>HYPERLINK("http://dx.doi.org/10.1029/1999JC900167","http://dx.doi.org/10.1029/1999JC900167")</f>
        <v>http://dx.doi.org/10.1029/1999JC900167</v>
      </c>
      <c r="BG184" t="s">
        <v>74</v>
      </c>
      <c r="BH184" t="s">
        <v>74</v>
      </c>
      <c r="BI184">
        <v>23</v>
      </c>
      <c r="BJ184" t="s">
        <v>416</v>
      </c>
      <c r="BK184" t="s">
        <v>96</v>
      </c>
      <c r="BL184" t="s">
        <v>416</v>
      </c>
      <c r="BM184" t="s">
        <v>2767</v>
      </c>
      <c r="BN184" t="s">
        <v>74</v>
      </c>
      <c r="BO184" t="s">
        <v>250</v>
      </c>
      <c r="BP184" t="s">
        <v>74</v>
      </c>
      <c r="BQ184" t="s">
        <v>74</v>
      </c>
      <c r="BR184" t="s">
        <v>99</v>
      </c>
      <c r="BS184" t="s">
        <v>2778</v>
      </c>
      <c r="BT184" t="str">
        <f>HYPERLINK("https%3A%2F%2Fwww.webofscience.com%2Fwos%2Fwoscc%2Ffull-record%2FWOS:000083473200017","View Full Record in Web of Science")</f>
        <v>View Full Record in Web of Science</v>
      </c>
    </row>
    <row r="185" spans="1:72" x14ac:dyDescent="0.15">
      <c r="A185" t="s">
        <v>72</v>
      </c>
      <c r="B185" t="s">
        <v>2779</v>
      </c>
      <c r="C185" t="s">
        <v>74</v>
      </c>
      <c r="D185" t="s">
        <v>74</v>
      </c>
      <c r="E185" t="s">
        <v>74</v>
      </c>
      <c r="F185" t="s">
        <v>2779</v>
      </c>
      <c r="G185" t="s">
        <v>74</v>
      </c>
      <c r="H185" t="s">
        <v>74</v>
      </c>
      <c r="I185" t="s">
        <v>2780</v>
      </c>
      <c r="J185" t="s">
        <v>403</v>
      </c>
      <c r="K185" t="s">
        <v>74</v>
      </c>
      <c r="L185" t="s">
        <v>74</v>
      </c>
      <c r="M185" t="s">
        <v>77</v>
      </c>
      <c r="N185" t="s">
        <v>78</v>
      </c>
      <c r="O185" t="s">
        <v>74</v>
      </c>
      <c r="P185" t="s">
        <v>74</v>
      </c>
      <c r="Q185" t="s">
        <v>74</v>
      </c>
      <c r="R185" t="s">
        <v>74</v>
      </c>
      <c r="S185" t="s">
        <v>74</v>
      </c>
      <c r="T185" t="s">
        <v>74</v>
      </c>
      <c r="U185" t="s">
        <v>2781</v>
      </c>
      <c r="V185" t="s">
        <v>2782</v>
      </c>
      <c r="W185" t="s">
        <v>1697</v>
      </c>
      <c r="X185" t="s">
        <v>1222</v>
      </c>
      <c r="Y185" t="s">
        <v>2783</v>
      </c>
      <c r="Z185" t="s">
        <v>2784</v>
      </c>
      <c r="AA185" t="s">
        <v>2785</v>
      </c>
      <c r="AB185" t="s">
        <v>2786</v>
      </c>
      <c r="AC185" t="s">
        <v>74</v>
      </c>
      <c r="AD185" t="s">
        <v>74</v>
      </c>
      <c r="AE185" t="s">
        <v>74</v>
      </c>
      <c r="AF185" t="s">
        <v>74</v>
      </c>
      <c r="AG185">
        <v>32</v>
      </c>
      <c r="AH185">
        <v>5</v>
      </c>
      <c r="AI185">
        <v>5</v>
      </c>
      <c r="AJ185">
        <v>0</v>
      </c>
      <c r="AK185">
        <v>0</v>
      </c>
      <c r="AL185" t="s">
        <v>230</v>
      </c>
      <c r="AM185" t="s">
        <v>231</v>
      </c>
      <c r="AN185" t="s">
        <v>232</v>
      </c>
      <c r="AO185" t="s">
        <v>410</v>
      </c>
      <c r="AP185" t="s">
        <v>411</v>
      </c>
      <c r="AQ185" t="s">
        <v>74</v>
      </c>
      <c r="AR185" t="s">
        <v>412</v>
      </c>
      <c r="AS185" t="s">
        <v>413</v>
      </c>
      <c r="AT185" t="s">
        <v>2717</v>
      </c>
      <c r="AU185">
        <v>1999</v>
      </c>
      <c r="AV185">
        <v>104</v>
      </c>
      <c r="AW185" t="s">
        <v>2765</v>
      </c>
      <c r="AX185" t="s">
        <v>74</v>
      </c>
      <c r="AY185" t="s">
        <v>74</v>
      </c>
      <c r="AZ185" t="s">
        <v>74</v>
      </c>
      <c r="BA185" t="s">
        <v>74</v>
      </c>
      <c r="BB185">
        <v>20789</v>
      </c>
      <c r="BC185">
        <v>20799</v>
      </c>
      <c r="BD185" t="s">
        <v>74</v>
      </c>
      <c r="BE185" t="s">
        <v>2787</v>
      </c>
      <c r="BF185" t="str">
        <f>HYPERLINK("http://dx.doi.org/10.1029/98JC02371","http://dx.doi.org/10.1029/98JC02371")</f>
        <v>http://dx.doi.org/10.1029/98JC02371</v>
      </c>
      <c r="BG185" t="s">
        <v>74</v>
      </c>
      <c r="BH185" t="s">
        <v>74</v>
      </c>
      <c r="BI185">
        <v>11</v>
      </c>
      <c r="BJ185" t="s">
        <v>416</v>
      </c>
      <c r="BK185" t="s">
        <v>96</v>
      </c>
      <c r="BL185" t="s">
        <v>416</v>
      </c>
      <c r="BM185" t="s">
        <v>2767</v>
      </c>
      <c r="BN185" t="s">
        <v>74</v>
      </c>
      <c r="BO185" t="s">
        <v>74</v>
      </c>
      <c r="BP185" t="s">
        <v>74</v>
      </c>
      <c r="BQ185" t="s">
        <v>74</v>
      </c>
      <c r="BR185" t="s">
        <v>99</v>
      </c>
      <c r="BS185" t="s">
        <v>2788</v>
      </c>
      <c r="BT185" t="str">
        <f>HYPERLINK("https%3A%2F%2Fwww.webofscience.com%2Fwos%2Fwoscc%2Ffull-record%2FWOS:000083473200020","View Full Record in Web of Science")</f>
        <v>View Full Record in Web of Science</v>
      </c>
    </row>
    <row r="186" spans="1:72" x14ac:dyDescent="0.15">
      <c r="A186" t="s">
        <v>72</v>
      </c>
      <c r="B186" t="s">
        <v>2789</v>
      </c>
      <c r="C186" t="s">
        <v>74</v>
      </c>
      <c r="D186" t="s">
        <v>74</v>
      </c>
      <c r="E186" t="s">
        <v>74</v>
      </c>
      <c r="F186" t="s">
        <v>2789</v>
      </c>
      <c r="G186" t="s">
        <v>74</v>
      </c>
      <c r="H186" t="s">
        <v>74</v>
      </c>
      <c r="I186" t="s">
        <v>2790</v>
      </c>
      <c r="J186" t="s">
        <v>403</v>
      </c>
      <c r="K186" t="s">
        <v>74</v>
      </c>
      <c r="L186" t="s">
        <v>74</v>
      </c>
      <c r="M186" t="s">
        <v>77</v>
      </c>
      <c r="N186" t="s">
        <v>78</v>
      </c>
      <c r="O186" t="s">
        <v>74</v>
      </c>
      <c r="P186" t="s">
        <v>74</v>
      </c>
      <c r="Q186" t="s">
        <v>74</v>
      </c>
      <c r="R186" t="s">
        <v>74</v>
      </c>
      <c r="S186" t="s">
        <v>74</v>
      </c>
      <c r="T186" t="s">
        <v>74</v>
      </c>
      <c r="U186" t="s">
        <v>2791</v>
      </c>
      <c r="V186" t="s">
        <v>2792</v>
      </c>
      <c r="W186" t="s">
        <v>2793</v>
      </c>
      <c r="X186" t="s">
        <v>2794</v>
      </c>
      <c r="Y186" t="s">
        <v>2795</v>
      </c>
      <c r="Z186" t="s">
        <v>2796</v>
      </c>
      <c r="AA186" t="s">
        <v>2797</v>
      </c>
      <c r="AB186" t="s">
        <v>2798</v>
      </c>
      <c r="AC186" t="s">
        <v>74</v>
      </c>
      <c r="AD186" t="s">
        <v>74</v>
      </c>
      <c r="AE186" t="s">
        <v>74</v>
      </c>
      <c r="AF186" t="s">
        <v>74</v>
      </c>
      <c r="AG186">
        <v>57</v>
      </c>
      <c r="AH186">
        <v>14</v>
      </c>
      <c r="AI186">
        <v>16</v>
      </c>
      <c r="AJ186">
        <v>3</v>
      </c>
      <c r="AK186">
        <v>14</v>
      </c>
      <c r="AL186" t="s">
        <v>230</v>
      </c>
      <c r="AM186" t="s">
        <v>231</v>
      </c>
      <c r="AN186" t="s">
        <v>232</v>
      </c>
      <c r="AO186" t="s">
        <v>410</v>
      </c>
      <c r="AP186" t="s">
        <v>411</v>
      </c>
      <c r="AQ186" t="s">
        <v>74</v>
      </c>
      <c r="AR186" t="s">
        <v>412</v>
      </c>
      <c r="AS186" t="s">
        <v>413</v>
      </c>
      <c r="AT186" t="s">
        <v>2717</v>
      </c>
      <c r="AU186">
        <v>1999</v>
      </c>
      <c r="AV186">
        <v>104</v>
      </c>
      <c r="AW186" t="s">
        <v>2765</v>
      </c>
      <c r="AX186" t="s">
        <v>74</v>
      </c>
      <c r="AY186" t="s">
        <v>74</v>
      </c>
      <c r="AZ186" t="s">
        <v>74</v>
      </c>
      <c r="BA186" t="s">
        <v>74</v>
      </c>
      <c r="BB186">
        <v>20801</v>
      </c>
      <c r="BC186">
        <v>20826</v>
      </c>
      <c r="BD186" t="s">
        <v>74</v>
      </c>
      <c r="BE186" t="s">
        <v>2799</v>
      </c>
      <c r="BF186" t="str">
        <f>HYPERLINK("http://dx.doi.org/10.1029/1999JC900129","http://dx.doi.org/10.1029/1999JC900129")</f>
        <v>http://dx.doi.org/10.1029/1999JC900129</v>
      </c>
      <c r="BG186" t="s">
        <v>74</v>
      </c>
      <c r="BH186" t="s">
        <v>74</v>
      </c>
      <c r="BI186">
        <v>26</v>
      </c>
      <c r="BJ186" t="s">
        <v>416</v>
      </c>
      <c r="BK186" t="s">
        <v>96</v>
      </c>
      <c r="BL186" t="s">
        <v>416</v>
      </c>
      <c r="BM186" t="s">
        <v>2767</v>
      </c>
      <c r="BN186" t="s">
        <v>74</v>
      </c>
      <c r="BO186" t="s">
        <v>518</v>
      </c>
      <c r="BP186" t="s">
        <v>74</v>
      </c>
      <c r="BQ186" t="s">
        <v>74</v>
      </c>
      <c r="BR186" t="s">
        <v>99</v>
      </c>
      <c r="BS186" t="s">
        <v>2800</v>
      </c>
      <c r="BT186" t="str">
        <f>HYPERLINK("https%3A%2F%2Fwww.webofscience.com%2Fwos%2Fwoscc%2Ffull-record%2FWOS:000083473200021","View Full Record in Web of Science")</f>
        <v>View Full Record in Web of Science</v>
      </c>
    </row>
    <row r="187" spans="1:72" x14ac:dyDescent="0.15">
      <c r="A187" t="s">
        <v>72</v>
      </c>
      <c r="B187" t="s">
        <v>2801</v>
      </c>
      <c r="C187" t="s">
        <v>74</v>
      </c>
      <c r="D187" t="s">
        <v>74</v>
      </c>
      <c r="E187" t="s">
        <v>74</v>
      </c>
      <c r="F187" t="s">
        <v>2801</v>
      </c>
      <c r="G187" t="s">
        <v>74</v>
      </c>
      <c r="H187" t="s">
        <v>74</v>
      </c>
      <c r="I187" t="s">
        <v>2802</v>
      </c>
      <c r="J187" t="s">
        <v>403</v>
      </c>
      <c r="K187" t="s">
        <v>74</v>
      </c>
      <c r="L187" t="s">
        <v>74</v>
      </c>
      <c r="M187" t="s">
        <v>77</v>
      </c>
      <c r="N187" t="s">
        <v>78</v>
      </c>
      <c r="O187" t="s">
        <v>74</v>
      </c>
      <c r="P187" t="s">
        <v>74</v>
      </c>
      <c r="Q187" t="s">
        <v>74</v>
      </c>
      <c r="R187" t="s">
        <v>74</v>
      </c>
      <c r="S187" t="s">
        <v>74</v>
      </c>
      <c r="T187" t="s">
        <v>74</v>
      </c>
      <c r="U187" t="s">
        <v>2803</v>
      </c>
      <c r="V187" t="s">
        <v>2804</v>
      </c>
      <c r="W187" t="s">
        <v>2805</v>
      </c>
      <c r="X187" t="s">
        <v>2806</v>
      </c>
      <c r="Y187" t="s">
        <v>2807</v>
      </c>
      <c r="Z187" t="s">
        <v>2808</v>
      </c>
      <c r="AA187" t="s">
        <v>2809</v>
      </c>
      <c r="AB187" t="s">
        <v>2810</v>
      </c>
      <c r="AC187" t="s">
        <v>74</v>
      </c>
      <c r="AD187" t="s">
        <v>74</v>
      </c>
      <c r="AE187" t="s">
        <v>74</v>
      </c>
      <c r="AF187" t="s">
        <v>74</v>
      </c>
      <c r="AG187">
        <v>65</v>
      </c>
      <c r="AH187">
        <v>590</v>
      </c>
      <c r="AI187">
        <v>620</v>
      </c>
      <c r="AJ187">
        <v>3</v>
      </c>
      <c r="AK187">
        <v>68</v>
      </c>
      <c r="AL187" t="s">
        <v>230</v>
      </c>
      <c r="AM187" t="s">
        <v>231</v>
      </c>
      <c r="AN187" t="s">
        <v>232</v>
      </c>
      <c r="AO187" t="s">
        <v>410</v>
      </c>
      <c r="AP187" t="s">
        <v>411</v>
      </c>
      <c r="AQ187" t="s">
        <v>74</v>
      </c>
      <c r="AR187" t="s">
        <v>412</v>
      </c>
      <c r="AS187" t="s">
        <v>413</v>
      </c>
      <c r="AT187" t="s">
        <v>2717</v>
      </c>
      <c r="AU187">
        <v>1999</v>
      </c>
      <c r="AV187">
        <v>104</v>
      </c>
      <c r="AW187" t="s">
        <v>2765</v>
      </c>
      <c r="AX187" t="s">
        <v>74</v>
      </c>
      <c r="AY187" t="s">
        <v>74</v>
      </c>
      <c r="AZ187" t="s">
        <v>74</v>
      </c>
      <c r="BA187" t="s">
        <v>74</v>
      </c>
      <c r="BB187">
        <v>20863</v>
      </c>
      <c r="BC187">
        <v>20883</v>
      </c>
      <c r="BD187" t="s">
        <v>74</v>
      </c>
      <c r="BE187" t="s">
        <v>2811</v>
      </c>
      <c r="BF187" t="str">
        <f>HYPERLINK("http://dx.doi.org/10.1029/1999JC900139","http://dx.doi.org/10.1029/1999JC900139")</f>
        <v>http://dx.doi.org/10.1029/1999JC900139</v>
      </c>
      <c r="BG187" t="s">
        <v>74</v>
      </c>
      <c r="BH187" t="s">
        <v>74</v>
      </c>
      <c r="BI187">
        <v>21</v>
      </c>
      <c r="BJ187" t="s">
        <v>416</v>
      </c>
      <c r="BK187" t="s">
        <v>96</v>
      </c>
      <c r="BL187" t="s">
        <v>416</v>
      </c>
      <c r="BM187" t="s">
        <v>2767</v>
      </c>
      <c r="BN187" t="s">
        <v>74</v>
      </c>
      <c r="BO187" t="s">
        <v>610</v>
      </c>
      <c r="BP187" t="s">
        <v>74</v>
      </c>
      <c r="BQ187" t="s">
        <v>74</v>
      </c>
      <c r="BR187" t="s">
        <v>99</v>
      </c>
      <c r="BS187" t="s">
        <v>2812</v>
      </c>
      <c r="BT187" t="str">
        <f>HYPERLINK("https%3A%2F%2Fwww.webofscience.com%2Fwos%2Fwoscc%2Ffull-record%2FWOS:000083473200026","View Full Record in Web of Science")</f>
        <v>View Full Record in Web of Science</v>
      </c>
    </row>
    <row r="188" spans="1:72" x14ac:dyDescent="0.15">
      <c r="A188" t="s">
        <v>72</v>
      </c>
      <c r="B188" t="s">
        <v>2813</v>
      </c>
      <c r="C188" t="s">
        <v>74</v>
      </c>
      <c r="D188" t="s">
        <v>74</v>
      </c>
      <c r="E188" t="s">
        <v>74</v>
      </c>
      <c r="F188" t="s">
        <v>2813</v>
      </c>
      <c r="G188" t="s">
        <v>74</v>
      </c>
      <c r="H188" t="s">
        <v>74</v>
      </c>
      <c r="I188" t="s">
        <v>2814</v>
      </c>
      <c r="J188" t="s">
        <v>403</v>
      </c>
      <c r="K188" t="s">
        <v>74</v>
      </c>
      <c r="L188" t="s">
        <v>74</v>
      </c>
      <c r="M188" t="s">
        <v>77</v>
      </c>
      <c r="N188" t="s">
        <v>254</v>
      </c>
      <c r="O188" t="s">
        <v>74</v>
      </c>
      <c r="P188" t="s">
        <v>74</v>
      </c>
      <c r="Q188" t="s">
        <v>74</v>
      </c>
      <c r="R188" t="s">
        <v>74</v>
      </c>
      <c r="S188" t="s">
        <v>74</v>
      </c>
      <c r="T188" t="s">
        <v>74</v>
      </c>
      <c r="U188" t="s">
        <v>2815</v>
      </c>
      <c r="V188" t="s">
        <v>2816</v>
      </c>
      <c r="W188" t="s">
        <v>2817</v>
      </c>
      <c r="X188" t="s">
        <v>2818</v>
      </c>
      <c r="Y188" t="s">
        <v>2819</v>
      </c>
      <c r="Z188" t="s">
        <v>2820</v>
      </c>
      <c r="AA188" t="s">
        <v>2821</v>
      </c>
      <c r="AB188" t="s">
        <v>2822</v>
      </c>
      <c r="AC188" t="s">
        <v>74</v>
      </c>
      <c r="AD188" t="s">
        <v>74</v>
      </c>
      <c r="AE188" t="s">
        <v>74</v>
      </c>
      <c r="AF188" t="s">
        <v>74</v>
      </c>
      <c r="AG188">
        <v>159</v>
      </c>
      <c r="AH188">
        <v>266</v>
      </c>
      <c r="AI188">
        <v>279</v>
      </c>
      <c r="AJ188">
        <v>1</v>
      </c>
      <c r="AK188">
        <v>24</v>
      </c>
      <c r="AL188" t="s">
        <v>230</v>
      </c>
      <c r="AM188" t="s">
        <v>231</v>
      </c>
      <c r="AN188" t="s">
        <v>232</v>
      </c>
      <c r="AO188" t="s">
        <v>410</v>
      </c>
      <c r="AP188" t="s">
        <v>411</v>
      </c>
      <c r="AQ188" t="s">
        <v>74</v>
      </c>
      <c r="AR188" t="s">
        <v>412</v>
      </c>
      <c r="AS188" t="s">
        <v>413</v>
      </c>
      <c r="AT188" t="s">
        <v>2717</v>
      </c>
      <c r="AU188">
        <v>1999</v>
      </c>
      <c r="AV188">
        <v>104</v>
      </c>
      <c r="AW188" t="s">
        <v>2765</v>
      </c>
      <c r="AX188" t="s">
        <v>74</v>
      </c>
      <c r="AY188" t="s">
        <v>74</v>
      </c>
      <c r="AZ188" t="s">
        <v>74</v>
      </c>
      <c r="BA188" t="s">
        <v>74</v>
      </c>
      <c r="BB188">
        <v>20885</v>
      </c>
      <c r="BC188">
        <v>20910</v>
      </c>
      <c r="BD188" t="s">
        <v>74</v>
      </c>
      <c r="BE188" t="s">
        <v>2823</v>
      </c>
      <c r="BF188" t="str">
        <f>HYPERLINK("http://dx.doi.org/10.1029/1998JC900099","http://dx.doi.org/10.1029/1998JC900099")</f>
        <v>http://dx.doi.org/10.1029/1998JC900099</v>
      </c>
      <c r="BG188" t="s">
        <v>74</v>
      </c>
      <c r="BH188" t="s">
        <v>74</v>
      </c>
      <c r="BI188">
        <v>26</v>
      </c>
      <c r="BJ188" t="s">
        <v>416</v>
      </c>
      <c r="BK188" t="s">
        <v>96</v>
      </c>
      <c r="BL188" t="s">
        <v>416</v>
      </c>
      <c r="BM188" t="s">
        <v>2767</v>
      </c>
      <c r="BN188" t="s">
        <v>74</v>
      </c>
      <c r="BO188" t="s">
        <v>2824</v>
      </c>
      <c r="BP188" t="s">
        <v>74</v>
      </c>
      <c r="BQ188" t="s">
        <v>74</v>
      </c>
      <c r="BR188" t="s">
        <v>99</v>
      </c>
      <c r="BS188" t="s">
        <v>2825</v>
      </c>
      <c r="BT188" t="str">
        <f>HYPERLINK("https%3A%2F%2Fwww.webofscience.com%2Fwos%2Fwoscc%2Ffull-record%2FWOS:000083473200027","View Full Record in Web of Science")</f>
        <v>View Full Record in Web of Science</v>
      </c>
    </row>
    <row r="189" spans="1:72" x14ac:dyDescent="0.15">
      <c r="A189" t="s">
        <v>72</v>
      </c>
      <c r="B189" t="s">
        <v>2826</v>
      </c>
      <c r="C189" t="s">
        <v>74</v>
      </c>
      <c r="D189" t="s">
        <v>74</v>
      </c>
      <c r="E189" t="s">
        <v>74</v>
      </c>
      <c r="F189" t="s">
        <v>2826</v>
      </c>
      <c r="G189" t="s">
        <v>74</v>
      </c>
      <c r="H189" t="s">
        <v>74</v>
      </c>
      <c r="I189" t="s">
        <v>2827</v>
      </c>
      <c r="J189" t="s">
        <v>403</v>
      </c>
      <c r="K189" t="s">
        <v>74</v>
      </c>
      <c r="L189" t="s">
        <v>74</v>
      </c>
      <c r="M189" t="s">
        <v>77</v>
      </c>
      <c r="N189" t="s">
        <v>78</v>
      </c>
      <c r="O189" t="s">
        <v>74</v>
      </c>
      <c r="P189" t="s">
        <v>74</v>
      </c>
      <c r="Q189" t="s">
        <v>74</v>
      </c>
      <c r="R189" t="s">
        <v>74</v>
      </c>
      <c r="S189" t="s">
        <v>74</v>
      </c>
      <c r="T189" t="s">
        <v>74</v>
      </c>
      <c r="U189" t="s">
        <v>2828</v>
      </c>
      <c r="V189" t="s">
        <v>2829</v>
      </c>
      <c r="W189" t="s">
        <v>2830</v>
      </c>
      <c r="X189" t="s">
        <v>2831</v>
      </c>
      <c r="Y189" t="s">
        <v>2832</v>
      </c>
      <c r="Z189" t="s">
        <v>2833</v>
      </c>
      <c r="AA189" t="s">
        <v>2834</v>
      </c>
      <c r="AB189" t="s">
        <v>2835</v>
      </c>
      <c r="AC189" t="s">
        <v>74</v>
      </c>
      <c r="AD189" t="s">
        <v>74</v>
      </c>
      <c r="AE189" t="s">
        <v>74</v>
      </c>
      <c r="AF189" t="s">
        <v>74</v>
      </c>
      <c r="AG189">
        <v>40</v>
      </c>
      <c r="AH189">
        <v>18</v>
      </c>
      <c r="AI189">
        <v>18</v>
      </c>
      <c r="AJ189">
        <v>0</v>
      </c>
      <c r="AK189">
        <v>16</v>
      </c>
      <c r="AL189" t="s">
        <v>230</v>
      </c>
      <c r="AM189" t="s">
        <v>231</v>
      </c>
      <c r="AN189" t="s">
        <v>232</v>
      </c>
      <c r="AO189" t="s">
        <v>410</v>
      </c>
      <c r="AP189" t="s">
        <v>411</v>
      </c>
      <c r="AQ189" t="s">
        <v>74</v>
      </c>
      <c r="AR189" t="s">
        <v>412</v>
      </c>
      <c r="AS189" t="s">
        <v>413</v>
      </c>
      <c r="AT189" t="s">
        <v>2717</v>
      </c>
      <c r="AU189">
        <v>1999</v>
      </c>
      <c r="AV189">
        <v>104</v>
      </c>
      <c r="AW189" t="s">
        <v>2765</v>
      </c>
      <c r="AX189" t="s">
        <v>74</v>
      </c>
      <c r="AY189" t="s">
        <v>74</v>
      </c>
      <c r="AZ189" t="s">
        <v>74</v>
      </c>
      <c r="BA189" t="s">
        <v>74</v>
      </c>
      <c r="BB189">
        <v>20911</v>
      </c>
      <c r="BC189">
        <v>20926</v>
      </c>
      <c r="BD189" t="s">
        <v>74</v>
      </c>
      <c r="BE189" t="s">
        <v>2836</v>
      </c>
      <c r="BF189" t="str">
        <f>HYPERLINK("http://dx.doi.org/10.1029/1999JC900123","http://dx.doi.org/10.1029/1999JC900123")</f>
        <v>http://dx.doi.org/10.1029/1999JC900123</v>
      </c>
      <c r="BG189" t="s">
        <v>74</v>
      </c>
      <c r="BH189" t="s">
        <v>74</v>
      </c>
      <c r="BI189">
        <v>16</v>
      </c>
      <c r="BJ189" t="s">
        <v>416</v>
      </c>
      <c r="BK189" t="s">
        <v>96</v>
      </c>
      <c r="BL189" t="s">
        <v>416</v>
      </c>
      <c r="BM189" t="s">
        <v>2767</v>
      </c>
      <c r="BN189" t="s">
        <v>74</v>
      </c>
      <c r="BO189" t="s">
        <v>250</v>
      </c>
      <c r="BP189" t="s">
        <v>74</v>
      </c>
      <c r="BQ189" t="s">
        <v>74</v>
      </c>
      <c r="BR189" t="s">
        <v>99</v>
      </c>
      <c r="BS189" t="s">
        <v>2837</v>
      </c>
      <c r="BT189" t="str">
        <f>HYPERLINK("https%3A%2F%2Fwww.webofscience.com%2Fwos%2Fwoscc%2Ffull-record%2FWOS:000083473200028","View Full Record in Web of Science")</f>
        <v>View Full Record in Web of Science</v>
      </c>
    </row>
    <row r="190" spans="1:72" x14ac:dyDescent="0.15">
      <c r="A190" t="s">
        <v>72</v>
      </c>
      <c r="B190" t="s">
        <v>2838</v>
      </c>
      <c r="C190" t="s">
        <v>74</v>
      </c>
      <c r="D190" t="s">
        <v>74</v>
      </c>
      <c r="E190" t="s">
        <v>74</v>
      </c>
      <c r="F190" t="s">
        <v>2838</v>
      </c>
      <c r="G190" t="s">
        <v>74</v>
      </c>
      <c r="H190" t="s">
        <v>74</v>
      </c>
      <c r="I190" t="s">
        <v>2839</v>
      </c>
      <c r="J190" t="s">
        <v>403</v>
      </c>
      <c r="K190" t="s">
        <v>74</v>
      </c>
      <c r="L190" t="s">
        <v>74</v>
      </c>
      <c r="M190" t="s">
        <v>77</v>
      </c>
      <c r="N190" t="s">
        <v>78</v>
      </c>
      <c r="O190" t="s">
        <v>74</v>
      </c>
      <c r="P190" t="s">
        <v>74</v>
      </c>
      <c r="Q190" t="s">
        <v>74</v>
      </c>
      <c r="R190" t="s">
        <v>74</v>
      </c>
      <c r="S190" t="s">
        <v>74</v>
      </c>
      <c r="T190" t="s">
        <v>74</v>
      </c>
      <c r="U190" t="s">
        <v>2840</v>
      </c>
      <c r="V190" t="s">
        <v>2841</v>
      </c>
      <c r="W190" t="s">
        <v>2842</v>
      </c>
      <c r="X190" t="s">
        <v>2843</v>
      </c>
      <c r="Y190" t="s">
        <v>2844</v>
      </c>
      <c r="Z190" t="s">
        <v>2845</v>
      </c>
      <c r="AA190" t="s">
        <v>2846</v>
      </c>
      <c r="AB190" t="s">
        <v>2847</v>
      </c>
      <c r="AC190" t="s">
        <v>74</v>
      </c>
      <c r="AD190" t="s">
        <v>74</v>
      </c>
      <c r="AE190" t="s">
        <v>74</v>
      </c>
      <c r="AF190" t="s">
        <v>74</v>
      </c>
      <c r="AG190">
        <v>59</v>
      </c>
      <c r="AH190">
        <v>52</v>
      </c>
      <c r="AI190">
        <v>52</v>
      </c>
      <c r="AJ190">
        <v>0</v>
      </c>
      <c r="AK190">
        <v>27</v>
      </c>
      <c r="AL190" t="s">
        <v>230</v>
      </c>
      <c r="AM190" t="s">
        <v>231</v>
      </c>
      <c r="AN190" t="s">
        <v>232</v>
      </c>
      <c r="AO190" t="s">
        <v>410</v>
      </c>
      <c r="AP190" t="s">
        <v>411</v>
      </c>
      <c r="AQ190" t="s">
        <v>74</v>
      </c>
      <c r="AR190" t="s">
        <v>412</v>
      </c>
      <c r="AS190" t="s">
        <v>413</v>
      </c>
      <c r="AT190" t="s">
        <v>2717</v>
      </c>
      <c r="AU190">
        <v>1999</v>
      </c>
      <c r="AV190">
        <v>104</v>
      </c>
      <c r="AW190" t="s">
        <v>2765</v>
      </c>
      <c r="AX190" t="s">
        <v>74</v>
      </c>
      <c r="AY190" t="s">
        <v>74</v>
      </c>
      <c r="AZ190" t="s">
        <v>74</v>
      </c>
      <c r="BA190" t="s">
        <v>74</v>
      </c>
      <c r="BB190">
        <v>20949</v>
      </c>
      <c r="BC190">
        <v>20962</v>
      </c>
      <c r="BD190" t="s">
        <v>74</v>
      </c>
      <c r="BE190" t="s">
        <v>2848</v>
      </c>
      <c r="BF190" t="str">
        <f>HYPERLINK("http://dx.doi.org/10.1029/98JC02544","http://dx.doi.org/10.1029/98JC02544")</f>
        <v>http://dx.doi.org/10.1029/98JC02544</v>
      </c>
      <c r="BG190" t="s">
        <v>74</v>
      </c>
      <c r="BH190" t="s">
        <v>74</v>
      </c>
      <c r="BI190">
        <v>14</v>
      </c>
      <c r="BJ190" t="s">
        <v>416</v>
      </c>
      <c r="BK190" t="s">
        <v>96</v>
      </c>
      <c r="BL190" t="s">
        <v>416</v>
      </c>
      <c r="BM190" t="s">
        <v>2767</v>
      </c>
      <c r="BN190" t="s">
        <v>74</v>
      </c>
      <c r="BO190" t="s">
        <v>1505</v>
      </c>
      <c r="BP190" t="s">
        <v>74</v>
      </c>
      <c r="BQ190" t="s">
        <v>74</v>
      </c>
      <c r="BR190" t="s">
        <v>99</v>
      </c>
      <c r="BS190" t="s">
        <v>2849</v>
      </c>
      <c r="BT190" t="str">
        <f>HYPERLINK("https%3A%2F%2Fwww.webofscience.com%2Fwos%2Fwoscc%2Ffull-record%2FWOS:000083473200030","View Full Record in Web of Science")</f>
        <v>View Full Record in Web of Science</v>
      </c>
    </row>
    <row r="191" spans="1:72" x14ac:dyDescent="0.15">
      <c r="A191" t="s">
        <v>72</v>
      </c>
      <c r="B191" t="s">
        <v>2850</v>
      </c>
      <c r="C191" t="s">
        <v>74</v>
      </c>
      <c r="D191" t="s">
        <v>74</v>
      </c>
      <c r="E191" t="s">
        <v>74</v>
      </c>
      <c r="F191" t="s">
        <v>2850</v>
      </c>
      <c r="G191" t="s">
        <v>74</v>
      </c>
      <c r="H191" t="s">
        <v>74</v>
      </c>
      <c r="I191" t="s">
        <v>2851</v>
      </c>
      <c r="J191" t="s">
        <v>403</v>
      </c>
      <c r="K191" t="s">
        <v>74</v>
      </c>
      <c r="L191" t="s">
        <v>74</v>
      </c>
      <c r="M191" t="s">
        <v>77</v>
      </c>
      <c r="N191" t="s">
        <v>78</v>
      </c>
      <c r="O191" t="s">
        <v>74</v>
      </c>
      <c r="P191" t="s">
        <v>74</v>
      </c>
      <c r="Q191" t="s">
        <v>74</v>
      </c>
      <c r="R191" t="s">
        <v>74</v>
      </c>
      <c r="S191" t="s">
        <v>74</v>
      </c>
      <c r="T191" t="s">
        <v>74</v>
      </c>
      <c r="U191" t="s">
        <v>2852</v>
      </c>
      <c r="V191" t="s">
        <v>2853</v>
      </c>
      <c r="W191" t="s">
        <v>2854</v>
      </c>
      <c r="X191" t="s">
        <v>2855</v>
      </c>
      <c r="Y191" t="s">
        <v>2844</v>
      </c>
      <c r="Z191" t="s">
        <v>2856</v>
      </c>
      <c r="AA191" t="s">
        <v>2857</v>
      </c>
      <c r="AB191" t="s">
        <v>2858</v>
      </c>
      <c r="AC191" t="s">
        <v>74</v>
      </c>
      <c r="AD191" t="s">
        <v>74</v>
      </c>
      <c r="AE191" t="s">
        <v>74</v>
      </c>
      <c r="AF191" t="s">
        <v>74</v>
      </c>
      <c r="AG191">
        <v>34</v>
      </c>
      <c r="AH191">
        <v>42</v>
      </c>
      <c r="AI191">
        <v>43</v>
      </c>
      <c r="AJ191">
        <v>0</v>
      </c>
      <c r="AK191">
        <v>2</v>
      </c>
      <c r="AL191" t="s">
        <v>230</v>
      </c>
      <c r="AM191" t="s">
        <v>231</v>
      </c>
      <c r="AN191" t="s">
        <v>232</v>
      </c>
      <c r="AO191" t="s">
        <v>410</v>
      </c>
      <c r="AP191" t="s">
        <v>411</v>
      </c>
      <c r="AQ191" t="s">
        <v>74</v>
      </c>
      <c r="AR191" t="s">
        <v>412</v>
      </c>
      <c r="AS191" t="s">
        <v>413</v>
      </c>
      <c r="AT191" t="s">
        <v>2717</v>
      </c>
      <c r="AU191">
        <v>1999</v>
      </c>
      <c r="AV191">
        <v>104</v>
      </c>
      <c r="AW191" t="s">
        <v>2765</v>
      </c>
      <c r="AX191" t="s">
        <v>74</v>
      </c>
      <c r="AY191" t="s">
        <v>74</v>
      </c>
      <c r="AZ191" t="s">
        <v>74</v>
      </c>
      <c r="BA191" t="s">
        <v>74</v>
      </c>
      <c r="BB191">
        <v>21007</v>
      </c>
      <c r="BC191">
        <v>21020</v>
      </c>
      <c r="BD191" t="s">
        <v>74</v>
      </c>
      <c r="BE191" t="s">
        <v>2859</v>
      </c>
      <c r="BF191" t="str">
        <f>HYPERLINK("http://dx.doi.org/10.1029/1998JC900131","http://dx.doi.org/10.1029/1998JC900131")</f>
        <v>http://dx.doi.org/10.1029/1998JC900131</v>
      </c>
      <c r="BG191" t="s">
        <v>74</v>
      </c>
      <c r="BH191" t="s">
        <v>74</v>
      </c>
      <c r="BI191">
        <v>14</v>
      </c>
      <c r="BJ191" t="s">
        <v>416</v>
      </c>
      <c r="BK191" t="s">
        <v>96</v>
      </c>
      <c r="BL191" t="s">
        <v>416</v>
      </c>
      <c r="BM191" t="s">
        <v>2767</v>
      </c>
      <c r="BN191" t="s">
        <v>74</v>
      </c>
      <c r="BO191" t="s">
        <v>250</v>
      </c>
      <c r="BP191" t="s">
        <v>74</v>
      </c>
      <c r="BQ191" t="s">
        <v>74</v>
      </c>
      <c r="BR191" t="s">
        <v>99</v>
      </c>
      <c r="BS191" t="s">
        <v>2860</v>
      </c>
      <c r="BT191" t="str">
        <f>HYPERLINK("https%3A%2F%2Fwww.webofscience.com%2Fwos%2Fwoscc%2Ffull-record%2FWOS:000083473200034","View Full Record in Web of Science")</f>
        <v>View Full Record in Web of Science</v>
      </c>
    </row>
    <row r="192" spans="1:72" x14ac:dyDescent="0.15">
      <c r="A192" t="s">
        <v>72</v>
      </c>
      <c r="B192" t="s">
        <v>2861</v>
      </c>
      <c r="C192" t="s">
        <v>74</v>
      </c>
      <c r="D192" t="s">
        <v>74</v>
      </c>
      <c r="E192" t="s">
        <v>74</v>
      </c>
      <c r="F192" t="s">
        <v>2861</v>
      </c>
      <c r="G192" t="s">
        <v>74</v>
      </c>
      <c r="H192" t="s">
        <v>74</v>
      </c>
      <c r="I192" t="s">
        <v>2862</v>
      </c>
      <c r="J192" t="s">
        <v>403</v>
      </c>
      <c r="K192" t="s">
        <v>74</v>
      </c>
      <c r="L192" t="s">
        <v>74</v>
      </c>
      <c r="M192" t="s">
        <v>77</v>
      </c>
      <c r="N192" t="s">
        <v>78</v>
      </c>
      <c r="O192" t="s">
        <v>74</v>
      </c>
      <c r="P192" t="s">
        <v>74</v>
      </c>
      <c r="Q192" t="s">
        <v>74</v>
      </c>
      <c r="R192" t="s">
        <v>74</v>
      </c>
      <c r="S192" t="s">
        <v>74</v>
      </c>
      <c r="T192" t="s">
        <v>74</v>
      </c>
      <c r="U192" t="s">
        <v>2863</v>
      </c>
      <c r="V192" t="s">
        <v>2864</v>
      </c>
      <c r="W192" t="s">
        <v>2865</v>
      </c>
      <c r="X192" t="s">
        <v>2866</v>
      </c>
      <c r="Y192" t="s">
        <v>2867</v>
      </c>
      <c r="Z192" t="s">
        <v>74</v>
      </c>
      <c r="AA192" t="s">
        <v>74</v>
      </c>
      <c r="AB192" t="s">
        <v>2868</v>
      </c>
      <c r="AC192" t="s">
        <v>74</v>
      </c>
      <c r="AD192" t="s">
        <v>74</v>
      </c>
      <c r="AE192" t="s">
        <v>74</v>
      </c>
      <c r="AF192" t="s">
        <v>74</v>
      </c>
      <c r="AG192">
        <v>34</v>
      </c>
      <c r="AH192">
        <v>3</v>
      </c>
      <c r="AI192">
        <v>3</v>
      </c>
      <c r="AJ192">
        <v>0</v>
      </c>
      <c r="AK192">
        <v>2</v>
      </c>
      <c r="AL192" t="s">
        <v>230</v>
      </c>
      <c r="AM192" t="s">
        <v>231</v>
      </c>
      <c r="AN192" t="s">
        <v>232</v>
      </c>
      <c r="AO192" t="s">
        <v>410</v>
      </c>
      <c r="AP192" t="s">
        <v>411</v>
      </c>
      <c r="AQ192" t="s">
        <v>74</v>
      </c>
      <c r="AR192" t="s">
        <v>412</v>
      </c>
      <c r="AS192" t="s">
        <v>413</v>
      </c>
      <c r="AT192" t="s">
        <v>2717</v>
      </c>
      <c r="AU192">
        <v>1999</v>
      </c>
      <c r="AV192">
        <v>104</v>
      </c>
      <c r="AW192" t="s">
        <v>2765</v>
      </c>
      <c r="AX192" t="s">
        <v>74</v>
      </c>
      <c r="AY192" t="s">
        <v>74</v>
      </c>
      <c r="AZ192" t="s">
        <v>74</v>
      </c>
      <c r="BA192" t="s">
        <v>74</v>
      </c>
      <c r="BB192">
        <v>21051</v>
      </c>
      <c r="BC192">
        <v>21061</v>
      </c>
      <c r="BD192" t="s">
        <v>74</v>
      </c>
      <c r="BE192" t="s">
        <v>2869</v>
      </c>
      <c r="BF192" t="str">
        <f>HYPERLINK("http://dx.doi.org/10.1029/1999JC900177","http://dx.doi.org/10.1029/1999JC900177")</f>
        <v>http://dx.doi.org/10.1029/1999JC900177</v>
      </c>
      <c r="BG192" t="s">
        <v>74</v>
      </c>
      <c r="BH192" t="s">
        <v>74</v>
      </c>
      <c r="BI192">
        <v>11</v>
      </c>
      <c r="BJ192" t="s">
        <v>416</v>
      </c>
      <c r="BK192" t="s">
        <v>96</v>
      </c>
      <c r="BL192" t="s">
        <v>416</v>
      </c>
      <c r="BM192" t="s">
        <v>2767</v>
      </c>
      <c r="BN192" t="s">
        <v>74</v>
      </c>
      <c r="BO192" t="s">
        <v>250</v>
      </c>
      <c r="BP192" t="s">
        <v>74</v>
      </c>
      <c r="BQ192" t="s">
        <v>74</v>
      </c>
      <c r="BR192" t="s">
        <v>99</v>
      </c>
      <c r="BS192" t="s">
        <v>2870</v>
      </c>
      <c r="BT192" t="str">
        <f>HYPERLINK("https%3A%2F%2Fwww.webofscience.com%2Fwos%2Fwoscc%2Ffull-record%2FWOS:000083473200037","View Full Record in Web of Science")</f>
        <v>View Full Record in Web of Science</v>
      </c>
    </row>
    <row r="193" spans="1:72" x14ac:dyDescent="0.15">
      <c r="A193" t="s">
        <v>72</v>
      </c>
      <c r="B193" t="s">
        <v>2871</v>
      </c>
      <c r="C193" t="s">
        <v>74</v>
      </c>
      <c r="D193" t="s">
        <v>74</v>
      </c>
      <c r="E193" t="s">
        <v>74</v>
      </c>
      <c r="F193" t="s">
        <v>2871</v>
      </c>
      <c r="G193" t="s">
        <v>74</v>
      </c>
      <c r="H193" t="s">
        <v>74</v>
      </c>
      <c r="I193" t="s">
        <v>2872</v>
      </c>
      <c r="J193" t="s">
        <v>403</v>
      </c>
      <c r="K193" t="s">
        <v>74</v>
      </c>
      <c r="L193" t="s">
        <v>74</v>
      </c>
      <c r="M193" t="s">
        <v>77</v>
      </c>
      <c r="N193" t="s">
        <v>78</v>
      </c>
      <c r="O193" t="s">
        <v>74</v>
      </c>
      <c r="P193" t="s">
        <v>74</v>
      </c>
      <c r="Q193" t="s">
        <v>74</v>
      </c>
      <c r="R193" t="s">
        <v>74</v>
      </c>
      <c r="S193" t="s">
        <v>74</v>
      </c>
      <c r="T193" t="s">
        <v>74</v>
      </c>
      <c r="U193" t="s">
        <v>2873</v>
      </c>
      <c r="V193" t="s">
        <v>2874</v>
      </c>
      <c r="W193" t="s">
        <v>2875</v>
      </c>
      <c r="X193" t="s">
        <v>2876</v>
      </c>
      <c r="Y193" t="s">
        <v>2877</v>
      </c>
      <c r="Z193" t="s">
        <v>2878</v>
      </c>
      <c r="AA193" t="s">
        <v>2879</v>
      </c>
      <c r="AB193" t="s">
        <v>2880</v>
      </c>
      <c r="AC193" t="s">
        <v>74</v>
      </c>
      <c r="AD193" t="s">
        <v>74</v>
      </c>
      <c r="AE193" t="s">
        <v>74</v>
      </c>
      <c r="AF193" t="s">
        <v>74</v>
      </c>
      <c r="AG193">
        <v>47</v>
      </c>
      <c r="AH193">
        <v>15</v>
      </c>
      <c r="AI193">
        <v>15</v>
      </c>
      <c r="AJ193">
        <v>0</v>
      </c>
      <c r="AK193">
        <v>3</v>
      </c>
      <c r="AL193" t="s">
        <v>230</v>
      </c>
      <c r="AM193" t="s">
        <v>231</v>
      </c>
      <c r="AN193" t="s">
        <v>232</v>
      </c>
      <c r="AO193" t="s">
        <v>410</v>
      </c>
      <c r="AP193" t="s">
        <v>411</v>
      </c>
      <c r="AQ193" t="s">
        <v>74</v>
      </c>
      <c r="AR193" t="s">
        <v>412</v>
      </c>
      <c r="AS193" t="s">
        <v>413</v>
      </c>
      <c r="AT193" t="s">
        <v>2717</v>
      </c>
      <c r="AU193">
        <v>1999</v>
      </c>
      <c r="AV193">
        <v>104</v>
      </c>
      <c r="AW193" t="s">
        <v>2765</v>
      </c>
      <c r="AX193" t="s">
        <v>74</v>
      </c>
      <c r="AY193" t="s">
        <v>74</v>
      </c>
      <c r="AZ193" t="s">
        <v>74</v>
      </c>
      <c r="BA193" t="s">
        <v>74</v>
      </c>
      <c r="BB193">
        <v>21063</v>
      </c>
      <c r="BC193">
        <v>21082</v>
      </c>
      <c r="BD193" t="s">
        <v>74</v>
      </c>
      <c r="BE193" t="s">
        <v>2881</v>
      </c>
      <c r="BF193" t="str">
        <f>HYPERLINK("http://dx.doi.org/10.1029/1999JC900059","http://dx.doi.org/10.1029/1999JC900059")</f>
        <v>http://dx.doi.org/10.1029/1999JC900059</v>
      </c>
      <c r="BG193" t="s">
        <v>74</v>
      </c>
      <c r="BH193" t="s">
        <v>74</v>
      </c>
      <c r="BI193">
        <v>20</v>
      </c>
      <c r="BJ193" t="s">
        <v>416</v>
      </c>
      <c r="BK193" t="s">
        <v>96</v>
      </c>
      <c r="BL193" t="s">
        <v>416</v>
      </c>
      <c r="BM193" t="s">
        <v>2767</v>
      </c>
      <c r="BN193" t="s">
        <v>74</v>
      </c>
      <c r="BO193" t="s">
        <v>2824</v>
      </c>
      <c r="BP193" t="s">
        <v>74</v>
      </c>
      <c r="BQ193" t="s">
        <v>74</v>
      </c>
      <c r="BR193" t="s">
        <v>99</v>
      </c>
      <c r="BS193" t="s">
        <v>2882</v>
      </c>
      <c r="BT193" t="str">
        <f>HYPERLINK("https%3A%2F%2Fwww.webofscience.com%2Fwos%2Fwoscc%2Ffull-record%2FWOS:000083473200038","View Full Record in Web of Science")</f>
        <v>View Full Record in Web of Science</v>
      </c>
    </row>
    <row r="194" spans="1:72" x14ac:dyDescent="0.15">
      <c r="A194" t="s">
        <v>72</v>
      </c>
      <c r="B194" t="s">
        <v>2883</v>
      </c>
      <c r="C194" t="s">
        <v>74</v>
      </c>
      <c r="D194" t="s">
        <v>74</v>
      </c>
      <c r="E194" t="s">
        <v>74</v>
      </c>
      <c r="F194" t="s">
        <v>2883</v>
      </c>
      <c r="G194" t="s">
        <v>74</v>
      </c>
      <c r="H194" t="s">
        <v>74</v>
      </c>
      <c r="I194" t="s">
        <v>2884</v>
      </c>
      <c r="J194" t="s">
        <v>403</v>
      </c>
      <c r="K194" t="s">
        <v>74</v>
      </c>
      <c r="L194" t="s">
        <v>74</v>
      </c>
      <c r="M194" t="s">
        <v>77</v>
      </c>
      <c r="N194" t="s">
        <v>78</v>
      </c>
      <c r="O194" t="s">
        <v>74</v>
      </c>
      <c r="P194" t="s">
        <v>74</v>
      </c>
      <c r="Q194" t="s">
        <v>74</v>
      </c>
      <c r="R194" t="s">
        <v>74</v>
      </c>
      <c r="S194" t="s">
        <v>74</v>
      </c>
      <c r="T194" t="s">
        <v>74</v>
      </c>
      <c r="U194" t="s">
        <v>2885</v>
      </c>
      <c r="V194" t="s">
        <v>2886</v>
      </c>
      <c r="W194" t="s">
        <v>2887</v>
      </c>
      <c r="X194" t="s">
        <v>2888</v>
      </c>
      <c r="Y194" t="s">
        <v>2889</v>
      </c>
      <c r="Z194" t="s">
        <v>2890</v>
      </c>
      <c r="AA194" t="s">
        <v>74</v>
      </c>
      <c r="AB194" t="s">
        <v>2891</v>
      </c>
      <c r="AC194" t="s">
        <v>74</v>
      </c>
      <c r="AD194" t="s">
        <v>74</v>
      </c>
      <c r="AE194" t="s">
        <v>74</v>
      </c>
      <c r="AF194" t="s">
        <v>74</v>
      </c>
      <c r="AG194">
        <v>38</v>
      </c>
      <c r="AH194">
        <v>44</v>
      </c>
      <c r="AI194">
        <v>45</v>
      </c>
      <c r="AJ194">
        <v>0</v>
      </c>
      <c r="AK194">
        <v>2</v>
      </c>
      <c r="AL194" t="s">
        <v>230</v>
      </c>
      <c r="AM194" t="s">
        <v>231</v>
      </c>
      <c r="AN194" t="s">
        <v>232</v>
      </c>
      <c r="AO194" t="s">
        <v>410</v>
      </c>
      <c r="AP194" t="s">
        <v>411</v>
      </c>
      <c r="AQ194" t="s">
        <v>74</v>
      </c>
      <c r="AR194" t="s">
        <v>412</v>
      </c>
      <c r="AS194" t="s">
        <v>413</v>
      </c>
      <c r="AT194" t="s">
        <v>2717</v>
      </c>
      <c r="AU194">
        <v>1999</v>
      </c>
      <c r="AV194">
        <v>104</v>
      </c>
      <c r="AW194" t="s">
        <v>2765</v>
      </c>
      <c r="AX194" t="s">
        <v>74</v>
      </c>
      <c r="AY194" t="s">
        <v>74</v>
      </c>
      <c r="AZ194" t="s">
        <v>74</v>
      </c>
      <c r="BA194" t="s">
        <v>74</v>
      </c>
      <c r="BB194">
        <v>21105</v>
      </c>
      <c r="BC194">
        <v>21122</v>
      </c>
      <c r="BD194" t="s">
        <v>74</v>
      </c>
      <c r="BE194" t="s">
        <v>2892</v>
      </c>
      <c r="BF194" t="str">
        <f>HYPERLINK("http://dx.doi.org/10.1029/1999JC900056","http://dx.doi.org/10.1029/1999JC900056")</f>
        <v>http://dx.doi.org/10.1029/1999JC900056</v>
      </c>
      <c r="BG194" t="s">
        <v>74</v>
      </c>
      <c r="BH194" t="s">
        <v>74</v>
      </c>
      <c r="BI194">
        <v>18</v>
      </c>
      <c r="BJ194" t="s">
        <v>416</v>
      </c>
      <c r="BK194" t="s">
        <v>96</v>
      </c>
      <c r="BL194" t="s">
        <v>416</v>
      </c>
      <c r="BM194" t="s">
        <v>2767</v>
      </c>
      <c r="BN194" t="s">
        <v>74</v>
      </c>
      <c r="BO194" t="s">
        <v>250</v>
      </c>
      <c r="BP194" t="s">
        <v>74</v>
      </c>
      <c r="BQ194" t="s">
        <v>74</v>
      </c>
      <c r="BR194" t="s">
        <v>99</v>
      </c>
      <c r="BS194" t="s">
        <v>2893</v>
      </c>
      <c r="BT194" t="str">
        <f>HYPERLINK("https%3A%2F%2Fwww.webofscience.com%2Fwos%2Fwoscc%2Ffull-record%2FWOS:000083473200040","View Full Record in Web of Science")</f>
        <v>View Full Record in Web of Science</v>
      </c>
    </row>
    <row r="195" spans="1:72" x14ac:dyDescent="0.15">
      <c r="A195" t="s">
        <v>72</v>
      </c>
      <c r="B195" t="s">
        <v>2894</v>
      </c>
      <c r="C195" t="s">
        <v>74</v>
      </c>
      <c r="D195" t="s">
        <v>74</v>
      </c>
      <c r="E195" t="s">
        <v>74</v>
      </c>
      <c r="F195" t="s">
        <v>2894</v>
      </c>
      <c r="G195" t="s">
        <v>74</v>
      </c>
      <c r="H195" t="s">
        <v>74</v>
      </c>
      <c r="I195" t="s">
        <v>2895</v>
      </c>
      <c r="J195" t="s">
        <v>403</v>
      </c>
      <c r="K195" t="s">
        <v>74</v>
      </c>
      <c r="L195" t="s">
        <v>74</v>
      </c>
      <c r="M195" t="s">
        <v>77</v>
      </c>
      <c r="N195" t="s">
        <v>78</v>
      </c>
      <c r="O195" t="s">
        <v>74</v>
      </c>
      <c r="P195" t="s">
        <v>74</v>
      </c>
      <c r="Q195" t="s">
        <v>74</v>
      </c>
      <c r="R195" t="s">
        <v>74</v>
      </c>
      <c r="S195" t="s">
        <v>74</v>
      </c>
      <c r="T195" t="s">
        <v>74</v>
      </c>
      <c r="U195" t="s">
        <v>2896</v>
      </c>
      <c r="V195" t="s">
        <v>2897</v>
      </c>
      <c r="W195" t="s">
        <v>2898</v>
      </c>
      <c r="X195" t="s">
        <v>2899</v>
      </c>
      <c r="Y195" t="s">
        <v>2900</v>
      </c>
      <c r="Z195" t="s">
        <v>2901</v>
      </c>
      <c r="AA195" t="s">
        <v>74</v>
      </c>
      <c r="AB195" t="s">
        <v>74</v>
      </c>
      <c r="AC195" t="s">
        <v>74</v>
      </c>
      <c r="AD195" t="s">
        <v>74</v>
      </c>
      <c r="AE195" t="s">
        <v>74</v>
      </c>
      <c r="AF195" t="s">
        <v>74</v>
      </c>
      <c r="AG195">
        <v>36</v>
      </c>
      <c r="AH195">
        <v>23</v>
      </c>
      <c r="AI195">
        <v>24</v>
      </c>
      <c r="AJ195">
        <v>0</v>
      </c>
      <c r="AK195">
        <v>2</v>
      </c>
      <c r="AL195" t="s">
        <v>230</v>
      </c>
      <c r="AM195" t="s">
        <v>231</v>
      </c>
      <c r="AN195" t="s">
        <v>232</v>
      </c>
      <c r="AO195" t="s">
        <v>410</v>
      </c>
      <c r="AP195" t="s">
        <v>411</v>
      </c>
      <c r="AQ195" t="s">
        <v>74</v>
      </c>
      <c r="AR195" t="s">
        <v>412</v>
      </c>
      <c r="AS195" t="s">
        <v>413</v>
      </c>
      <c r="AT195" t="s">
        <v>2717</v>
      </c>
      <c r="AU195">
        <v>1999</v>
      </c>
      <c r="AV195">
        <v>104</v>
      </c>
      <c r="AW195" t="s">
        <v>2765</v>
      </c>
      <c r="AX195" t="s">
        <v>74</v>
      </c>
      <c r="AY195" t="s">
        <v>74</v>
      </c>
      <c r="AZ195" t="s">
        <v>74</v>
      </c>
      <c r="BA195" t="s">
        <v>74</v>
      </c>
      <c r="BB195">
        <v>21123</v>
      </c>
      <c r="BC195">
        <v>21136</v>
      </c>
      <c r="BD195" t="s">
        <v>74</v>
      </c>
      <c r="BE195" t="s">
        <v>2902</v>
      </c>
      <c r="BF195" t="str">
        <f>HYPERLINK("http://dx.doi.org/10.1029/1998JC900055","http://dx.doi.org/10.1029/1998JC900055")</f>
        <v>http://dx.doi.org/10.1029/1998JC900055</v>
      </c>
      <c r="BG195" t="s">
        <v>74</v>
      </c>
      <c r="BH195" t="s">
        <v>74</v>
      </c>
      <c r="BI195">
        <v>14</v>
      </c>
      <c r="BJ195" t="s">
        <v>416</v>
      </c>
      <c r="BK195" t="s">
        <v>96</v>
      </c>
      <c r="BL195" t="s">
        <v>416</v>
      </c>
      <c r="BM195" t="s">
        <v>2767</v>
      </c>
      <c r="BN195" t="s">
        <v>74</v>
      </c>
      <c r="BO195" t="s">
        <v>390</v>
      </c>
      <c r="BP195" t="s">
        <v>74</v>
      </c>
      <c r="BQ195" t="s">
        <v>74</v>
      </c>
      <c r="BR195" t="s">
        <v>99</v>
      </c>
      <c r="BS195" t="s">
        <v>2903</v>
      </c>
      <c r="BT195" t="str">
        <f>HYPERLINK("https%3A%2F%2Fwww.webofscience.com%2Fwos%2Fwoscc%2Ffull-record%2FWOS:000083473200041","View Full Record in Web of Science")</f>
        <v>View Full Record in Web of Science</v>
      </c>
    </row>
    <row r="196" spans="1:72" x14ac:dyDescent="0.15">
      <c r="A196" t="s">
        <v>72</v>
      </c>
      <c r="B196" t="s">
        <v>2904</v>
      </c>
      <c r="C196" t="s">
        <v>74</v>
      </c>
      <c r="D196" t="s">
        <v>74</v>
      </c>
      <c r="E196" t="s">
        <v>74</v>
      </c>
      <c r="F196" t="s">
        <v>2904</v>
      </c>
      <c r="G196" t="s">
        <v>74</v>
      </c>
      <c r="H196" t="s">
        <v>74</v>
      </c>
      <c r="I196" t="s">
        <v>2905</v>
      </c>
      <c r="J196" t="s">
        <v>403</v>
      </c>
      <c r="K196" t="s">
        <v>74</v>
      </c>
      <c r="L196" t="s">
        <v>74</v>
      </c>
      <c r="M196" t="s">
        <v>77</v>
      </c>
      <c r="N196" t="s">
        <v>78</v>
      </c>
      <c r="O196" t="s">
        <v>74</v>
      </c>
      <c r="P196" t="s">
        <v>74</v>
      </c>
      <c r="Q196" t="s">
        <v>74</v>
      </c>
      <c r="R196" t="s">
        <v>74</v>
      </c>
      <c r="S196" t="s">
        <v>74</v>
      </c>
      <c r="T196" t="s">
        <v>74</v>
      </c>
      <c r="U196" t="s">
        <v>2906</v>
      </c>
      <c r="V196" t="s">
        <v>2907</v>
      </c>
      <c r="W196" t="s">
        <v>2908</v>
      </c>
      <c r="X196" t="s">
        <v>2909</v>
      </c>
      <c r="Y196" t="s">
        <v>2910</v>
      </c>
      <c r="Z196" t="s">
        <v>2911</v>
      </c>
      <c r="AA196" t="s">
        <v>2912</v>
      </c>
      <c r="AB196" t="s">
        <v>2913</v>
      </c>
      <c r="AC196" t="s">
        <v>74</v>
      </c>
      <c r="AD196" t="s">
        <v>74</v>
      </c>
      <c r="AE196" t="s">
        <v>74</v>
      </c>
      <c r="AF196" t="s">
        <v>74</v>
      </c>
      <c r="AG196">
        <v>58</v>
      </c>
      <c r="AH196">
        <v>15</v>
      </c>
      <c r="AI196">
        <v>15</v>
      </c>
      <c r="AJ196">
        <v>0</v>
      </c>
      <c r="AK196">
        <v>0</v>
      </c>
      <c r="AL196" t="s">
        <v>230</v>
      </c>
      <c r="AM196" t="s">
        <v>231</v>
      </c>
      <c r="AN196" t="s">
        <v>232</v>
      </c>
      <c r="AO196" t="s">
        <v>410</v>
      </c>
      <c r="AP196" t="s">
        <v>411</v>
      </c>
      <c r="AQ196" t="s">
        <v>74</v>
      </c>
      <c r="AR196" t="s">
        <v>412</v>
      </c>
      <c r="AS196" t="s">
        <v>413</v>
      </c>
      <c r="AT196" t="s">
        <v>2717</v>
      </c>
      <c r="AU196">
        <v>1999</v>
      </c>
      <c r="AV196">
        <v>104</v>
      </c>
      <c r="AW196" t="s">
        <v>2765</v>
      </c>
      <c r="AX196" t="s">
        <v>74</v>
      </c>
      <c r="AY196" t="s">
        <v>74</v>
      </c>
      <c r="AZ196" t="s">
        <v>74</v>
      </c>
      <c r="BA196" t="s">
        <v>74</v>
      </c>
      <c r="BB196">
        <v>21195</v>
      </c>
      <c r="BC196">
        <v>21215</v>
      </c>
      <c r="BD196" t="s">
        <v>74</v>
      </c>
      <c r="BE196" t="s">
        <v>2914</v>
      </c>
      <c r="BF196" t="str">
        <f>HYPERLINK("http://dx.doi.org/10.1029/1999JC900094","http://dx.doi.org/10.1029/1999JC900094")</f>
        <v>http://dx.doi.org/10.1029/1999JC900094</v>
      </c>
      <c r="BG196" t="s">
        <v>74</v>
      </c>
      <c r="BH196" t="s">
        <v>74</v>
      </c>
      <c r="BI196">
        <v>21</v>
      </c>
      <c r="BJ196" t="s">
        <v>416</v>
      </c>
      <c r="BK196" t="s">
        <v>96</v>
      </c>
      <c r="BL196" t="s">
        <v>416</v>
      </c>
      <c r="BM196" t="s">
        <v>2767</v>
      </c>
      <c r="BN196" t="s">
        <v>74</v>
      </c>
      <c r="BO196" t="s">
        <v>250</v>
      </c>
      <c r="BP196" t="s">
        <v>74</v>
      </c>
      <c r="BQ196" t="s">
        <v>74</v>
      </c>
      <c r="BR196" t="s">
        <v>99</v>
      </c>
      <c r="BS196" t="s">
        <v>2915</v>
      </c>
      <c r="BT196" t="str">
        <f>HYPERLINK("https%3A%2F%2Fwww.webofscience.com%2Fwos%2Fwoscc%2Ffull-record%2FWOS:000083473200045","View Full Record in Web of Science")</f>
        <v>View Full Record in Web of Science</v>
      </c>
    </row>
    <row r="197" spans="1:72" x14ac:dyDescent="0.15">
      <c r="A197" t="s">
        <v>72</v>
      </c>
      <c r="B197" t="s">
        <v>2916</v>
      </c>
      <c r="C197" t="s">
        <v>74</v>
      </c>
      <c r="D197" t="s">
        <v>74</v>
      </c>
      <c r="E197" t="s">
        <v>74</v>
      </c>
      <c r="F197" t="s">
        <v>2916</v>
      </c>
      <c r="G197" t="s">
        <v>74</v>
      </c>
      <c r="H197" t="s">
        <v>74</v>
      </c>
      <c r="I197" t="s">
        <v>2917</v>
      </c>
      <c r="J197" t="s">
        <v>2338</v>
      </c>
      <c r="K197" t="s">
        <v>74</v>
      </c>
      <c r="L197" t="s">
        <v>74</v>
      </c>
      <c r="M197" t="s">
        <v>77</v>
      </c>
      <c r="N197" t="s">
        <v>123</v>
      </c>
      <c r="O197" t="s">
        <v>2918</v>
      </c>
      <c r="P197" t="s">
        <v>2919</v>
      </c>
      <c r="Q197" t="s">
        <v>2920</v>
      </c>
      <c r="R197" t="s">
        <v>74</v>
      </c>
      <c r="S197" t="s">
        <v>2921</v>
      </c>
      <c r="T197" t="s">
        <v>2922</v>
      </c>
      <c r="U197" t="s">
        <v>2923</v>
      </c>
      <c r="V197" t="s">
        <v>2924</v>
      </c>
      <c r="W197" t="s">
        <v>2925</v>
      </c>
      <c r="X197" t="s">
        <v>2926</v>
      </c>
      <c r="Y197" t="s">
        <v>2927</v>
      </c>
      <c r="Z197" t="s">
        <v>2928</v>
      </c>
      <c r="AA197" t="s">
        <v>2929</v>
      </c>
      <c r="AB197" t="s">
        <v>74</v>
      </c>
      <c r="AC197" t="s">
        <v>74</v>
      </c>
      <c r="AD197" t="s">
        <v>74</v>
      </c>
      <c r="AE197" t="s">
        <v>74</v>
      </c>
      <c r="AF197" t="s">
        <v>74</v>
      </c>
      <c r="AG197">
        <v>33</v>
      </c>
      <c r="AH197">
        <v>16</v>
      </c>
      <c r="AI197">
        <v>16</v>
      </c>
      <c r="AJ197">
        <v>0</v>
      </c>
      <c r="AK197">
        <v>8</v>
      </c>
      <c r="AL197" t="s">
        <v>210</v>
      </c>
      <c r="AM197" t="s">
        <v>211</v>
      </c>
      <c r="AN197" t="s">
        <v>212</v>
      </c>
      <c r="AO197" t="s">
        <v>2349</v>
      </c>
      <c r="AP197" t="s">
        <v>74</v>
      </c>
      <c r="AQ197" t="s">
        <v>74</v>
      </c>
      <c r="AR197" t="s">
        <v>2351</v>
      </c>
      <c r="AS197" t="s">
        <v>2352</v>
      </c>
      <c r="AT197" t="s">
        <v>2717</v>
      </c>
      <c r="AU197">
        <v>1999</v>
      </c>
      <c r="AV197">
        <v>161</v>
      </c>
      <c r="AW197">
        <v>1</v>
      </c>
      <c r="AX197" t="s">
        <v>74</v>
      </c>
      <c r="AY197" t="s">
        <v>74</v>
      </c>
      <c r="AZ197" t="s">
        <v>74</v>
      </c>
      <c r="BA197" t="s">
        <v>74</v>
      </c>
      <c r="BB197">
        <v>1</v>
      </c>
      <c r="BC197">
        <v>12</v>
      </c>
      <c r="BD197" t="s">
        <v>74</v>
      </c>
      <c r="BE197" t="s">
        <v>2930</v>
      </c>
      <c r="BF197" t="str">
        <f>HYPERLINK("http://dx.doi.org/10.1016/S0025-3227(99)00051-1","http://dx.doi.org/10.1016/S0025-3227(99)00051-1")</f>
        <v>http://dx.doi.org/10.1016/S0025-3227(99)00051-1</v>
      </c>
      <c r="BG197" t="s">
        <v>74</v>
      </c>
      <c r="BH197" t="s">
        <v>74</v>
      </c>
      <c r="BI197">
        <v>12</v>
      </c>
      <c r="BJ197" t="s">
        <v>2355</v>
      </c>
      <c r="BK197" t="s">
        <v>156</v>
      </c>
      <c r="BL197" t="s">
        <v>2356</v>
      </c>
      <c r="BM197" t="s">
        <v>2931</v>
      </c>
      <c r="BN197" t="s">
        <v>74</v>
      </c>
      <c r="BO197" t="s">
        <v>98</v>
      </c>
      <c r="BP197" t="s">
        <v>74</v>
      </c>
      <c r="BQ197" t="s">
        <v>74</v>
      </c>
      <c r="BR197" t="s">
        <v>99</v>
      </c>
      <c r="BS197" t="s">
        <v>2932</v>
      </c>
      <c r="BT197" t="str">
        <f>HYPERLINK("https%3A%2F%2Fwww.webofscience.com%2Fwos%2Fwoscc%2Ffull-record%2FWOS:000082709300003","View Full Record in Web of Science")</f>
        <v>View Full Record in Web of Science</v>
      </c>
    </row>
    <row r="198" spans="1:72" x14ac:dyDescent="0.15">
      <c r="A198" t="s">
        <v>72</v>
      </c>
      <c r="B198" t="s">
        <v>2933</v>
      </c>
      <c r="C198" t="s">
        <v>74</v>
      </c>
      <c r="D198" t="s">
        <v>74</v>
      </c>
      <c r="E198" t="s">
        <v>74</v>
      </c>
      <c r="F198" t="s">
        <v>2933</v>
      </c>
      <c r="G198" t="s">
        <v>74</v>
      </c>
      <c r="H198" t="s">
        <v>74</v>
      </c>
      <c r="I198" t="s">
        <v>2934</v>
      </c>
      <c r="J198" t="s">
        <v>359</v>
      </c>
      <c r="K198" t="s">
        <v>74</v>
      </c>
      <c r="L198" t="s">
        <v>74</v>
      </c>
      <c r="M198" t="s">
        <v>77</v>
      </c>
      <c r="N198" t="s">
        <v>78</v>
      </c>
      <c r="O198" t="s">
        <v>74</v>
      </c>
      <c r="P198" t="s">
        <v>74</v>
      </c>
      <c r="Q198" t="s">
        <v>74</v>
      </c>
      <c r="R198" t="s">
        <v>74</v>
      </c>
      <c r="S198" t="s">
        <v>74</v>
      </c>
      <c r="T198" t="s">
        <v>74</v>
      </c>
      <c r="U198" t="s">
        <v>2935</v>
      </c>
      <c r="V198" t="s">
        <v>2936</v>
      </c>
      <c r="W198" t="s">
        <v>2937</v>
      </c>
      <c r="X198" t="s">
        <v>363</v>
      </c>
      <c r="Y198" t="s">
        <v>2938</v>
      </c>
      <c r="Z198" t="s">
        <v>74</v>
      </c>
      <c r="AA198" t="s">
        <v>74</v>
      </c>
      <c r="AB198" t="s">
        <v>74</v>
      </c>
      <c r="AC198" t="s">
        <v>74</v>
      </c>
      <c r="AD198" t="s">
        <v>74</v>
      </c>
      <c r="AE198" t="s">
        <v>74</v>
      </c>
      <c r="AF198" t="s">
        <v>74</v>
      </c>
      <c r="AG198">
        <v>72</v>
      </c>
      <c r="AH198">
        <v>20</v>
      </c>
      <c r="AI198">
        <v>20</v>
      </c>
      <c r="AJ198">
        <v>2</v>
      </c>
      <c r="AK198">
        <v>9</v>
      </c>
      <c r="AL198" t="s">
        <v>365</v>
      </c>
      <c r="AM198" t="s">
        <v>231</v>
      </c>
      <c r="AN198" t="s">
        <v>366</v>
      </c>
      <c r="AO198" t="s">
        <v>367</v>
      </c>
      <c r="AP198" t="s">
        <v>74</v>
      </c>
      <c r="AQ198" t="s">
        <v>74</v>
      </c>
      <c r="AR198" t="s">
        <v>368</v>
      </c>
      <c r="AS198" t="s">
        <v>369</v>
      </c>
      <c r="AT198" t="s">
        <v>2939</v>
      </c>
      <c r="AU198">
        <v>1999</v>
      </c>
      <c r="AV198">
        <v>103</v>
      </c>
      <c r="AW198">
        <v>36</v>
      </c>
      <c r="AX198" t="s">
        <v>74</v>
      </c>
      <c r="AY198" t="s">
        <v>74</v>
      </c>
      <c r="AZ198" t="s">
        <v>74</v>
      </c>
      <c r="BA198" t="s">
        <v>74</v>
      </c>
      <c r="BB198">
        <v>7310</v>
      </c>
      <c r="BC198">
        <v>7321</v>
      </c>
      <c r="BD198" t="s">
        <v>74</v>
      </c>
      <c r="BE198" t="s">
        <v>2940</v>
      </c>
      <c r="BF198" t="str">
        <f>HYPERLINK("http://dx.doi.org/10.1021/jp991137i","http://dx.doi.org/10.1021/jp991137i")</f>
        <v>http://dx.doi.org/10.1021/jp991137i</v>
      </c>
      <c r="BG198" t="s">
        <v>74</v>
      </c>
      <c r="BH198" t="s">
        <v>74</v>
      </c>
      <c r="BI198">
        <v>12</v>
      </c>
      <c r="BJ198" t="s">
        <v>372</v>
      </c>
      <c r="BK198" t="s">
        <v>96</v>
      </c>
      <c r="BL198" t="s">
        <v>373</v>
      </c>
      <c r="BM198" t="s">
        <v>2941</v>
      </c>
      <c r="BN198" t="s">
        <v>74</v>
      </c>
      <c r="BO198" t="s">
        <v>74</v>
      </c>
      <c r="BP198" t="s">
        <v>74</v>
      </c>
      <c r="BQ198" t="s">
        <v>74</v>
      </c>
      <c r="BR198" t="s">
        <v>99</v>
      </c>
      <c r="BS198" t="s">
        <v>2942</v>
      </c>
      <c r="BT198" t="str">
        <f>HYPERLINK("https%3A%2F%2Fwww.webofscience.com%2Fwos%2Fwoscc%2Ffull-record%2FWOS:000082571000023","View Full Record in Web of Science")</f>
        <v>View Full Record in Web of Science</v>
      </c>
    </row>
    <row r="199" spans="1:72" x14ac:dyDescent="0.15">
      <c r="A199" t="s">
        <v>72</v>
      </c>
      <c r="B199" t="s">
        <v>2943</v>
      </c>
      <c r="C199" t="s">
        <v>74</v>
      </c>
      <c r="D199" t="s">
        <v>74</v>
      </c>
      <c r="E199" t="s">
        <v>74</v>
      </c>
      <c r="F199" t="s">
        <v>2943</v>
      </c>
      <c r="G199" t="s">
        <v>74</v>
      </c>
      <c r="H199" t="s">
        <v>74</v>
      </c>
      <c r="I199" t="s">
        <v>2944</v>
      </c>
      <c r="J199" t="s">
        <v>180</v>
      </c>
      <c r="K199" t="s">
        <v>74</v>
      </c>
      <c r="L199" t="s">
        <v>74</v>
      </c>
      <c r="M199" t="s">
        <v>77</v>
      </c>
      <c r="N199" t="s">
        <v>78</v>
      </c>
      <c r="O199" t="s">
        <v>74</v>
      </c>
      <c r="P199" t="s">
        <v>74</v>
      </c>
      <c r="Q199" t="s">
        <v>74</v>
      </c>
      <c r="R199" t="s">
        <v>74</v>
      </c>
      <c r="S199" t="s">
        <v>74</v>
      </c>
      <c r="T199" t="s">
        <v>2945</v>
      </c>
      <c r="U199" t="s">
        <v>2946</v>
      </c>
      <c r="V199" t="s">
        <v>2947</v>
      </c>
      <c r="W199" t="s">
        <v>2948</v>
      </c>
      <c r="X199" t="s">
        <v>2949</v>
      </c>
      <c r="Y199" t="s">
        <v>2950</v>
      </c>
      <c r="Z199" t="s">
        <v>74</v>
      </c>
      <c r="AA199" t="s">
        <v>2951</v>
      </c>
      <c r="AB199" t="s">
        <v>2952</v>
      </c>
      <c r="AC199" t="s">
        <v>74</v>
      </c>
      <c r="AD199" t="s">
        <v>74</v>
      </c>
      <c r="AE199" t="s">
        <v>74</v>
      </c>
      <c r="AF199" t="s">
        <v>74</v>
      </c>
      <c r="AG199">
        <v>98</v>
      </c>
      <c r="AH199">
        <v>79</v>
      </c>
      <c r="AI199">
        <v>87</v>
      </c>
      <c r="AJ199">
        <v>0</v>
      </c>
      <c r="AK199">
        <v>18</v>
      </c>
      <c r="AL199" t="s">
        <v>189</v>
      </c>
      <c r="AM199" t="s">
        <v>190</v>
      </c>
      <c r="AN199" t="s">
        <v>191</v>
      </c>
      <c r="AO199" t="s">
        <v>192</v>
      </c>
      <c r="AP199" t="s">
        <v>74</v>
      </c>
      <c r="AQ199" t="s">
        <v>74</v>
      </c>
      <c r="AR199" t="s">
        <v>193</v>
      </c>
      <c r="AS199" t="s">
        <v>194</v>
      </c>
      <c r="AT199" t="s">
        <v>2953</v>
      </c>
      <c r="AU199">
        <v>1999</v>
      </c>
      <c r="AV199">
        <v>19</v>
      </c>
      <c r="AW199">
        <v>1</v>
      </c>
      <c r="AX199" t="s">
        <v>74</v>
      </c>
      <c r="AY199" t="s">
        <v>74</v>
      </c>
      <c r="AZ199" t="s">
        <v>74</v>
      </c>
      <c r="BA199" t="s">
        <v>74</v>
      </c>
      <c r="BB199">
        <v>13</v>
      </c>
      <c r="BC199">
        <v>27</v>
      </c>
      <c r="BD199" t="s">
        <v>74</v>
      </c>
      <c r="BE199" t="s">
        <v>2954</v>
      </c>
      <c r="BF199" t="str">
        <f>HYPERLINK("http://dx.doi.org/10.3354/ame019013","http://dx.doi.org/10.3354/ame019013")</f>
        <v>http://dx.doi.org/10.3354/ame019013</v>
      </c>
      <c r="BG199" t="s">
        <v>74</v>
      </c>
      <c r="BH199" t="s">
        <v>74</v>
      </c>
      <c r="BI199">
        <v>15</v>
      </c>
      <c r="BJ199" t="s">
        <v>197</v>
      </c>
      <c r="BK199" t="s">
        <v>96</v>
      </c>
      <c r="BL199" t="s">
        <v>198</v>
      </c>
      <c r="BM199" t="s">
        <v>2955</v>
      </c>
      <c r="BN199" t="s">
        <v>74</v>
      </c>
      <c r="BO199" t="s">
        <v>250</v>
      </c>
      <c r="BP199" t="s">
        <v>74</v>
      </c>
      <c r="BQ199" t="s">
        <v>74</v>
      </c>
      <c r="BR199" t="s">
        <v>99</v>
      </c>
      <c r="BS199" t="s">
        <v>2956</v>
      </c>
      <c r="BT199" t="str">
        <f>HYPERLINK("https%3A%2F%2Fwww.webofscience.com%2Fwos%2Fwoscc%2Ffull-record%2FWOS:000082957500002","View Full Record in Web of Science")</f>
        <v>View Full Record in Web of Science</v>
      </c>
    </row>
    <row r="200" spans="1:72" x14ac:dyDescent="0.15">
      <c r="A200" t="s">
        <v>72</v>
      </c>
      <c r="B200" t="s">
        <v>2957</v>
      </c>
      <c r="C200" t="s">
        <v>74</v>
      </c>
      <c r="D200" t="s">
        <v>74</v>
      </c>
      <c r="E200" t="s">
        <v>74</v>
      </c>
      <c r="F200" t="s">
        <v>2957</v>
      </c>
      <c r="G200" t="s">
        <v>74</v>
      </c>
      <c r="H200" t="s">
        <v>74</v>
      </c>
      <c r="I200" t="s">
        <v>2958</v>
      </c>
      <c r="J200" t="s">
        <v>2959</v>
      </c>
      <c r="K200" t="s">
        <v>74</v>
      </c>
      <c r="L200" t="s">
        <v>74</v>
      </c>
      <c r="M200" t="s">
        <v>77</v>
      </c>
      <c r="N200" t="s">
        <v>78</v>
      </c>
      <c r="O200" t="s">
        <v>74</v>
      </c>
      <c r="P200" t="s">
        <v>74</v>
      </c>
      <c r="Q200" t="s">
        <v>74</v>
      </c>
      <c r="R200" t="s">
        <v>74</v>
      </c>
      <c r="S200" t="s">
        <v>74</v>
      </c>
      <c r="T200" t="s">
        <v>74</v>
      </c>
      <c r="U200" t="s">
        <v>2960</v>
      </c>
      <c r="V200" t="s">
        <v>2961</v>
      </c>
      <c r="W200" t="s">
        <v>2962</v>
      </c>
      <c r="X200" t="s">
        <v>2963</v>
      </c>
      <c r="Y200" t="s">
        <v>2964</v>
      </c>
      <c r="Z200" t="s">
        <v>74</v>
      </c>
      <c r="AA200" t="s">
        <v>74</v>
      </c>
      <c r="AB200" t="s">
        <v>74</v>
      </c>
      <c r="AC200" t="s">
        <v>74</v>
      </c>
      <c r="AD200" t="s">
        <v>74</v>
      </c>
      <c r="AE200" t="s">
        <v>74</v>
      </c>
      <c r="AF200" t="s">
        <v>74</v>
      </c>
      <c r="AG200">
        <v>20</v>
      </c>
      <c r="AH200">
        <v>5</v>
      </c>
      <c r="AI200">
        <v>5</v>
      </c>
      <c r="AJ200">
        <v>0</v>
      </c>
      <c r="AK200">
        <v>1</v>
      </c>
      <c r="AL200" t="s">
        <v>2965</v>
      </c>
      <c r="AM200" t="s">
        <v>2966</v>
      </c>
      <c r="AN200" t="s">
        <v>2967</v>
      </c>
      <c r="AO200" t="s">
        <v>2968</v>
      </c>
      <c r="AP200" t="s">
        <v>74</v>
      </c>
      <c r="AQ200" t="s">
        <v>74</v>
      </c>
      <c r="AR200" t="s">
        <v>2969</v>
      </c>
      <c r="AS200" t="s">
        <v>2970</v>
      </c>
      <c r="AT200" t="s">
        <v>2971</v>
      </c>
      <c r="AU200">
        <v>1999</v>
      </c>
      <c r="AV200">
        <v>87</v>
      </c>
      <c r="AW200" t="s">
        <v>2972</v>
      </c>
      <c r="AX200" t="s">
        <v>74</v>
      </c>
      <c r="AY200" t="s">
        <v>74</v>
      </c>
      <c r="AZ200" t="s">
        <v>74</v>
      </c>
      <c r="BA200" t="s">
        <v>74</v>
      </c>
      <c r="BB200">
        <v>247</v>
      </c>
      <c r="BC200">
        <v>253</v>
      </c>
      <c r="BD200" t="s">
        <v>74</v>
      </c>
      <c r="BE200" t="s">
        <v>74</v>
      </c>
      <c r="BF200" t="s">
        <v>74</v>
      </c>
      <c r="BG200" t="s">
        <v>74</v>
      </c>
      <c r="BH200" t="s">
        <v>74</v>
      </c>
      <c r="BI200">
        <v>7</v>
      </c>
      <c r="BJ200" t="s">
        <v>2973</v>
      </c>
      <c r="BK200" t="s">
        <v>96</v>
      </c>
      <c r="BL200" t="s">
        <v>285</v>
      </c>
      <c r="BM200" t="s">
        <v>2974</v>
      </c>
      <c r="BN200" t="s">
        <v>74</v>
      </c>
      <c r="BO200" t="s">
        <v>74</v>
      </c>
      <c r="BP200" t="s">
        <v>74</v>
      </c>
      <c r="BQ200" t="s">
        <v>74</v>
      </c>
      <c r="BR200" t="s">
        <v>99</v>
      </c>
      <c r="BS200" t="s">
        <v>2975</v>
      </c>
      <c r="BT200" t="str">
        <f>HYPERLINK("https%3A%2F%2Fwww.webofscience.com%2Fwos%2Fwoscc%2Ffull-record%2FWOS:000087717700009","View Full Record in Web of Science")</f>
        <v>View Full Record in Web of Science</v>
      </c>
    </row>
    <row r="201" spans="1:72" x14ac:dyDescent="0.15">
      <c r="A201" t="s">
        <v>72</v>
      </c>
      <c r="B201" t="s">
        <v>2976</v>
      </c>
      <c r="C201" t="s">
        <v>74</v>
      </c>
      <c r="D201" t="s">
        <v>74</v>
      </c>
      <c r="E201" t="s">
        <v>74</v>
      </c>
      <c r="F201" t="s">
        <v>2976</v>
      </c>
      <c r="G201" t="s">
        <v>74</v>
      </c>
      <c r="H201" t="s">
        <v>74</v>
      </c>
      <c r="I201" t="s">
        <v>2977</v>
      </c>
      <c r="J201" t="s">
        <v>2978</v>
      </c>
      <c r="K201" t="s">
        <v>74</v>
      </c>
      <c r="L201" t="s">
        <v>74</v>
      </c>
      <c r="M201" t="s">
        <v>77</v>
      </c>
      <c r="N201" t="s">
        <v>205</v>
      </c>
      <c r="O201" t="s">
        <v>74</v>
      </c>
      <c r="P201" t="s">
        <v>74</v>
      </c>
      <c r="Q201" t="s">
        <v>74</v>
      </c>
      <c r="R201" t="s">
        <v>74</v>
      </c>
      <c r="S201" t="s">
        <v>74</v>
      </c>
      <c r="T201" t="s">
        <v>74</v>
      </c>
      <c r="U201" t="s">
        <v>74</v>
      </c>
      <c r="V201" t="s">
        <v>74</v>
      </c>
      <c r="W201" t="s">
        <v>74</v>
      </c>
      <c r="X201" t="s">
        <v>74</v>
      </c>
      <c r="Y201" t="s">
        <v>74</v>
      </c>
      <c r="Z201" t="s">
        <v>74</v>
      </c>
      <c r="AA201" t="s">
        <v>74</v>
      </c>
      <c r="AB201" t="s">
        <v>74</v>
      </c>
      <c r="AC201" t="s">
        <v>74</v>
      </c>
      <c r="AD201" t="s">
        <v>74</v>
      </c>
      <c r="AE201" t="s">
        <v>74</v>
      </c>
      <c r="AF201" t="s">
        <v>74</v>
      </c>
      <c r="AG201">
        <v>0</v>
      </c>
      <c r="AH201">
        <v>0</v>
      </c>
      <c r="AI201">
        <v>0</v>
      </c>
      <c r="AJ201">
        <v>0</v>
      </c>
      <c r="AK201">
        <v>0</v>
      </c>
      <c r="AL201" t="s">
        <v>2057</v>
      </c>
      <c r="AM201" t="s">
        <v>554</v>
      </c>
      <c r="AN201" t="s">
        <v>2058</v>
      </c>
      <c r="AO201" t="s">
        <v>2979</v>
      </c>
      <c r="AP201" t="s">
        <v>74</v>
      </c>
      <c r="AQ201" t="s">
        <v>74</v>
      </c>
      <c r="AR201" t="s">
        <v>2980</v>
      </c>
      <c r="AS201" t="s">
        <v>2981</v>
      </c>
      <c r="AT201" t="s">
        <v>2982</v>
      </c>
      <c r="AU201">
        <v>1999</v>
      </c>
      <c r="AV201">
        <v>11</v>
      </c>
      <c r="AW201">
        <v>3</v>
      </c>
      <c r="AX201" t="s">
        <v>74</v>
      </c>
      <c r="AY201" t="s">
        <v>74</v>
      </c>
      <c r="AZ201" t="s">
        <v>74</v>
      </c>
      <c r="BA201" t="s">
        <v>74</v>
      </c>
      <c r="BB201">
        <v>273</v>
      </c>
      <c r="BC201">
        <v>273</v>
      </c>
      <c r="BD201" t="s">
        <v>74</v>
      </c>
      <c r="BE201" t="s">
        <v>2983</v>
      </c>
      <c r="BF201" t="str">
        <f>HYPERLINK("http://dx.doi.org/10.1017/S0954102099000358","http://dx.doi.org/10.1017/S0954102099000358")</f>
        <v>http://dx.doi.org/10.1017/S0954102099000358</v>
      </c>
      <c r="BG201" t="s">
        <v>74</v>
      </c>
      <c r="BH201" t="s">
        <v>74</v>
      </c>
      <c r="BI201">
        <v>1</v>
      </c>
      <c r="BJ201" t="s">
        <v>2984</v>
      </c>
      <c r="BK201" t="s">
        <v>96</v>
      </c>
      <c r="BL201" t="s">
        <v>2985</v>
      </c>
      <c r="BM201" t="s">
        <v>2986</v>
      </c>
      <c r="BN201" t="s">
        <v>74</v>
      </c>
      <c r="BO201" t="s">
        <v>250</v>
      </c>
      <c r="BP201" t="s">
        <v>74</v>
      </c>
      <c r="BQ201" t="s">
        <v>74</v>
      </c>
      <c r="BR201" t="s">
        <v>99</v>
      </c>
      <c r="BS201" t="s">
        <v>2987</v>
      </c>
      <c r="BT201" t="str">
        <f>HYPERLINK("https%3A%2F%2Fwww.webofscience.com%2Fwos%2Fwoscc%2Ffull-record%2FWOS:000086753000001","View Full Record in Web of Science")</f>
        <v>View Full Record in Web of Science</v>
      </c>
    </row>
    <row r="202" spans="1:72" x14ac:dyDescent="0.15">
      <c r="A202" t="s">
        <v>72</v>
      </c>
      <c r="B202" t="s">
        <v>2988</v>
      </c>
      <c r="C202" t="s">
        <v>74</v>
      </c>
      <c r="D202" t="s">
        <v>74</v>
      </c>
      <c r="E202" t="s">
        <v>74</v>
      </c>
      <c r="F202" t="s">
        <v>2988</v>
      </c>
      <c r="G202" t="s">
        <v>74</v>
      </c>
      <c r="H202" t="s">
        <v>74</v>
      </c>
      <c r="I202" t="s">
        <v>2989</v>
      </c>
      <c r="J202" t="s">
        <v>2978</v>
      </c>
      <c r="K202" t="s">
        <v>74</v>
      </c>
      <c r="L202" t="s">
        <v>74</v>
      </c>
      <c r="M202" t="s">
        <v>77</v>
      </c>
      <c r="N202" t="s">
        <v>78</v>
      </c>
      <c r="O202" t="s">
        <v>74</v>
      </c>
      <c r="P202" t="s">
        <v>74</v>
      </c>
      <c r="Q202" t="s">
        <v>74</v>
      </c>
      <c r="R202" t="s">
        <v>74</v>
      </c>
      <c r="S202" t="s">
        <v>74</v>
      </c>
      <c r="T202" t="s">
        <v>2990</v>
      </c>
      <c r="U202" t="s">
        <v>2991</v>
      </c>
      <c r="V202" t="s">
        <v>2992</v>
      </c>
      <c r="W202" t="s">
        <v>2993</v>
      </c>
      <c r="X202" t="s">
        <v>2994</v>
      </c>
      <c r="Y202" t="s">
        <v>2995</v>
      </c>
      <c r="Z202" t="s">
        <v>2996</v>
      </c>
      <c r="AA202" t="s">
        <v>74</v>
      </c>
      <c r="AB202" t="s">
        <v>74</v>
      </c>
      <c r="AC202" t="s">
        <v>74</v>
      </c>
      <c r="AD202" t="s">
        <v>74</v>
      </c>
      <c r="AE202" t="s">
        <v>74</v>
      </c>
      <c r="AF202" t="s">
        <v>74</v>
      </c>
      <c r="AG202">
        <v>44</v>
      </c>
      <c r="AH202">
        <v>6</v>
      </c>
      <c r="AI202">
        <v>6</v>
      </c>
      <c r="AJ202">
        <v>1</v>
      </c>
      <c r="AK202">
        <v>4</v>
      </c>
      <c r="AL202" t="s">
        <v>2057</v>
      </c>
      <c r="AM202" t="s">
        <v>554</v>
      </c>
      <c r="AN202" t="s">
        <v>2997</v>
      </c>
      <c r="AO202" t="s">
        <v>2979</v>
      </c>
      <c r="AP202" t="s">
        <v>74</v>
      </c>
      <c r="AQ202" t="s">
        <v>74</v>
      </c>
      <c r="AR202" t="s">
        <v>2980</v>
      </c>
      <c r="AS202" t="s">
        <v>2981</v>
      </c>
      <c r="AT202" t="s">
        <v>2982</v>
      </c>
      <c r="AU202">
        <v>1999</v>
      </c>
      <c r="AV202">
        <v>11</v>
      </c>
      <c r="AW202">
        <v>3</v>
      </c>
      <c r="AX202" t="s">
        <v>74</v>
      </c>
      <c r="AY202" t="s">
        <v>74</v>
      </c>
      <c r="AZ202" t="s">
        <v>74</v>
      </c>
      <c r="BA202" t="s">
        <v>74</v>
      </c>
      <c r="BB202">
        <v>275</v>
      </c>
      <c r="BC202">
        <v>282</v>
      </c>
      <c r="BD202" t="s">
        <v>74</v>
      </c>
      <c r="BE202" t="s">
        <v>2998</v>
      </c>
      <c r="BF202" t="str">
        <f>HYPERLINK("http://dx.doi.org/10.1017/S095410209900036X","http://dx.doi.org/10.1017/S095410209900036X")</f>
        <v>http://dx.doi.org/10.1017/S095410209900036X</v>
      </c>
      <c r="BG202" t="s">
        <v>74</v>
      </c>
      <c r="BH202" t="s">
        <v>74</v>
      </c>
      <c r="BI202">
        <v>8</v>
      </c>
      <c r="BJ202" t="s">
        <v>2984</v>
      </c>
      <c r="BK202" t="s">
        <v>96</v>
      </c>
      <c r="BL202" t="s">
        <v>2985</v>
      </c>
      <c r="BM202" t="s">
        <v>2986</v>
      </c>
      <c r="BN202" t="s">
        <v>74</v>
      </c>
      <c r="BO202" t="s">
        <v>610</v>
      </c>
      <c r="BP202" t="s">
        <v>74</v>
      </c>
      <c r="BQ202" t="s">
        <v>74</v>
      </c>
      <c r="BR202" t="s">
        <v>99</v>
      </c>
      <c r="BS202" t="s">
        <v>2999</v>
      </c>
      <c r="BT202" t="str">
        <f>HYPERLINK("https%3A%2F%2Fwww.webofscience.com%2Fwos%2Fwoscc%2Ffull-record%2FWOS:000086753000002","View Full Record in Web of Science")</f>
        <v>View Full Record in Web of Science</v>
      </c>
    </row>
    <row r="203" spans="1:72" x14ac:dyDescent="0.15">
      <c r="A203" t="s">
        <v>72</v>
      </c>
      <c r="B203" t="s">
        <v>3000</v>
      </c>
      <c r="C203" t="s">
        <v>74</v>
      </c>
      <c r="D203" t="s">
        <v>74</v>
      </c>
      <c r="E203" t="s">
        <v>74</v>
      </c>
      <c r="F203" t="s">
        <v>3000</v>
      </c>
      <c r="G203" t="s">
        <v>74</v>
      </c>
      <c r="H203" t="s">
        <v>74</v>
      </c>
      <c r="I203" t="s">
        <v>3001</v>
      </c>
      <c r="J203" t="s">
        <v>2978</v>
      </c>
      <c r="K203" t="s">
        <v>74</v>
      </c>
      <c r="L203" t="s">
        <v>74</v>
      </c>
      <c r="M203" t="s">
        <v>77</v>
      </c>
      <c r="N203" t="s">
        <v>78</v>
      </c>
      <c r="O203" t="s">
        <v>74</v>
      </c>
      <c r="P203" t="s">
        <v>74</v>
      </c>
      <c r="Q203" t="s">
        <v>74</v>
      </c>
      <c r="R203" t="s">
        <v>74</v>
      </c>
      <c r="S203" t="s">
        <v>74</v>
      </c>
      <c r="T203" t="s">
        <v>3002</v>
      </c>
      <c r="U203" t="s">
        <v>3003</v>
      </c>
      <c r="V203" t="s">
        <v>3004</v>
      </c>
      <c r="W203" t="s">
        <v>151</v>
      </c>
      <c r="X203" t="s">
        <v>131</v>
      </c>
      <c r="Y203" t="s">
        <v>3005</v>
      </c>
      <c r="Z203" t="s">
        <v>74</v>
      </c>
      <c r="AA203" t="s">
        <v>74</v>
      </c>
      <c r="AB203" t="s">
        <v>74</v>
      </c>
      <c r="AC203" t="s">
        <v>74</v>
      </c>
      <c r="AD203" t="s">
        <v>74</v>
      </c>
      <c r="AE203" t="s">
        <v>74</v>
      </c>
      <c r="AF203" t="s">
        <v>74</v>
      </c>
      <c r="AG203">
        <v>41</v>
      </c>
      <c r="AH203">
        <v>36</v>
      </c>
      <c r="AI203">
        <v>39</v>
      </c>
      <c r="AJ203">
        <v>2</v>
      </c>
      <c r="AK203">
        <v>10</v>
      </c>
      <c r="AL203" t="s">
        <v>2057</v>
      </c>
      <c r="AM203" t="s">
        <v>554</v>
      </c>
      <c r="AN203" t="s">
        <v>2997</v>
      </c>
      <c r="AO203" t="s">
        <v>2979</v>
      </c>
      <c r="AP203" t="s">
        <v>3006</v>
      </c>
      <c r="AQ203" t="s">
        <v>74</v>
      </c>
      <c r="AR203" t="s">
        <v>2980</v>
      </c>
      <c r="AS203" t="s">
        <v>2981</v>
      </c>
      <c r="AT203" t="s">
        <v>2982</v>
      </c>
      <c r="AU203">
        <v>1999</v>
      </c>
      <c r="AV203">
        <v>11</v>
      </c>
      <c r="AW203">
        <v>3</v>
      </c>
      <c r="AX203" t="s">
        <v>74</v>
      </c>
      <c r="AY203" t="s">
        <v>74</v>
      </c>
      <c r="AZ203" t="s">
        <v>74</v>
      </c>
      <c r="BA203" t="s">
        <v>74</v>
      </c>
      <c r="BB203">
        <v>283</v>
      </c>
      <c r="BC203">
        <v>292</v>
      </c>
      <c r="BD203" t="s">
        <v>74</v>
      </c>
      <c r="BE203" t="s">
        <v>3007</v>
      </c>
      <c r="BF203" t="str">
        <f>HYPERLINK("http://dx.doi.org/10.1017/S0954102099000371","http://dx.doi.org/10.1017/S0954102099000371")</f>
        <v>http://dx.doi.org/10.1017/S0954102099000371</v>
      </c>
      <c r="BG203" t="s">
        <v>74</v>
      </c>
      <c r="BH203" t="s">
        <v>74</v>
      </c>
      <c r="BI203">
        <v>10</v>
      </c>
      <c r="BJ203" t="s">
        <v>2984</v>
      </c>
      <c r="BK203" t="s">
        <v>96</v>
      </c>
      <c r="BL203" t="s">
        <v>2985</v>
      </c>
      <c r="BM203" t="s">
        <v>2986</v>
      </c>
      <c r="BN203" t="s">
        <v>74</v>
      </c>
      <c r="BO203" t="s">
        <v>610</v>
      </c>
      <c r="BP203" t="s">
        <v>74</v>
      </c>
      <c r="BQ203" t="s">
        <v>74</v>
      </c>
      <c r="BR203" t="s">
        <v>99</v>
      </c>
      <c r="BS203" t="s">
        <v>3008</v>
      </c>
      <c r="BT203" t="str">
        <f>HYPERLINK("https%3A%2F%2Fwww.webofscience.com%2Fwos%2Fwoscc%2Ffull-record%2FWOS:000086753000003","View Full Record in Web of Science")</f>
        <v>View Full Record in Web of Science</v>
      </c>
    </row>
    <row r="204" spans="1:72" x14ac:dyDescent="0.15">
      <c r="A204" t="s">
        <v>72</v>
      </c>
      <c r="B204" t="s">
        <v>3009</v>
      </c>
      <c r="C204" t="s">
        <v>74</v>
      </c>
      <c r="D204" t="s">
        <v>74</v>
      </c>
      <c r="E204" t="s">
        <v>74</v>
      </c>
      <c r="F204" t="s">
        <v>3009</v>
      </c>
      <c r="G204" t="s">
        <v>74</v>
      </c>
      <c r="H204" t="s">
        <v>74</v>
      </c>
      <c r="I204" t="s">
        <v>3010</v>
      </c>
      <c r="J204" t="s">
        <v>2978</v>
      </c>
      <c r="K204" t="s">
        <v>74</v>
      </c>
      <c r="L204" t="s">
        <v>74</v>
      </c>
      <c r="M204" t="s">
        <v>77</v>
      </c>
      <c r="N204" t="s">
        <v>78</v>
      </c>
      <c r="O204" t="s">
        <v>74</v>
      </c>
      <c r="P204" t="s">
        <v>74</v>
      </c>
      <c r="Q204" t="s">
        <v>74</v>
      </c>
      <c r="R204" t="s">
        <v>74</v>
      </c>
      <c r="S204" t="s">
        <v>74</v>
      </c>
      <c r="T204" t="s">
        <v>3011</v>
      </c>
      <c r="U204" t="s">
        <v>3012</v>
      </c>
      <c r="V204" t="s">
        <v>3013</v>
      </c>
      <c r="W204" t="s">
        <v>3014</v>
      </c>
      <c r="X204" t="s">
        <v>3015</v>
      </c>
      <c r="Y204" t="s">
        <v>3016</v>
      </c>
      <c r="Z204" t="s">
        <v>74</v>
      </c>
      <c r="AA204" t="s">
        <v>3017</v>
      </c>
      <c r="AB204" t="s">
        <v>3018</v>
      </c>
      <c r="AC204" t="s">
        <v>74</v>
      </c>
      <c r="AD204" t="s">
        <v>74</v>
      </c>
      <c r="AE204" t="s">
        <v>74</v>
      </c>
      <c r="AF204" t="s">
        <v>74</v>
      </c>
      <c r="AG204">
        <v>62</v>
      </c>
      <c r="AH204">
        <v>80</v>
      </c>
      <c r="AI204">
        <v>89</v>
      </c>
      <c r="AJ204">
        <v>0</v>
      </c>
      <c r="AK204">
        <v>5</v>
      </c>
      <c r="AL204" t="s">
        <v>2057</v>
      </c>
      <c r="AM204" t="s">
        <v>554</v>
      </c>
      <c r="AN204" t="s">
        <v>2058</v>
      </c>
      <c r="AO204" t="s">
        <v>2979</v>
      </c>
      <c r="AP204" t="s">
        <v>74</v>
      </c>
      <c r="AQ204" t="s">
        <v>74</v>
      </c>
      <c r="AR204" t="s">
        <v>2980</v>
      </c>
      <c r="AS204" t="s">
        <v>2981</v>
      </c>
      <c r="AT204" t="s">
        <v>2982</v>
      </c>
      <c r="AU204">
        <v>1999</v>
      </c>
      <c r="AV204">
        <v>11</v>
      </c>
      <c r="AW204">
        <v>3</v>
      </c>
      <c r="AX204" t="s">
        <v>74</v>
      </c>
      <c r="AY204" t="s">
        <v>74</v>
      </c>
      <c r="AZ204" t="s">
        <v>74</v>
      </c>
      <c r="BA204" t="s">
        <v>74</v>
      </c>
      <c r="BB204">
        <v>293</v>
      </c>
      <c r="BC204">
        <v>304</v>
      </c>
      <c r="BD204" t="s">
        <v>74</v>
      </c>
      <c r="BE204" t="s">
        <v>3019</v>
      </c>
      <c r="BF204" t="str">
        <f>HYPERLINK("http://dx.doi.org/10.1017/S0954102099000383","http://dx.doi.org/10.1017/S0954102099000383")</f>
        <v>http://dx.doi.org/10.1017/S0954102099000383</v>
      </c>
      <c r="BG204" t="s">
        <v>74</v>
      </c>
      <c r="BH204" t="s">
        <v>74</v>
      </c>
      <c r="BI204">
        <v>12</v>
      </c>
      <c r="BJ204" t="s">
        <v>2984</v>
      </c>
      <c r="BK204" t="s">
        <v>96</v>
      </c>
      <c r="BL204" t="s">
        <v>2985</v>
      </c>
      <c r="BM204" t="s">
        <v>2986</v>
      </c>
      <c r="BN204" t="s">
        <v>74</v>
      </c>
      <c r="BO204" t="s">
        <v>74</v>
      </c>
      <c r="BP204" t="s">
        <v>74</v>
      </c>
      <c r="BQ204" t="s">
        <v>74</v>
      </c>
      <c r="BR204" t="s">
        <v>99</v>
      </c>
      <c r="BS204" t="s">
        <v>3020</v>
      </c>
      <c r="BT204" t="str">
        <f>HYPERLINK("https%3A%2F%2Fwww.webofscience.com%2Fwos%2Fwoscc%2Ffull-record%2FWOS:000086753000004","View Full Record in Web of Science")</f>
        <v>View Full Record in Web of Science</v>
      </c>
    </row>
    <row r="205" spans="1:72" x14ac:dyDescent="0.15">
      <c r="A205" t="s">
        <v>72</v>
      </c>
      <c r="B205" t="s">
        <v>3021</v>
      </c>
      <c r="C205" t="s">
        <v>74</v>
      </c>
      <c r="D205" t="s">
        <v>74</v>
      </c>
      <c r="E205" t="s">
        <v>74</v>
      </c>
      <c r="F205" t="s">
        <v>3021</v>
      </c>
      <c r="G205" t="s">
        <v>74</v>
      </c>
      <c r="H205" t="s">
        <v>74</v>
      </c>
      <c r="I205" t="s">
        <v>3022</v>
      </c>
      <c r="J205" t="s">
        <v>2978</v>
      </c>
      <c r="K205" t="s">
        <v>74</v>
      </c>
      <c r="L205" t="s">
        <v>74</v>
      </c>
      <c r="M205" t="s">
        <v>77</v>
      </c>
      <c r="N205" t="s">
        <v>78</v>
      </c>
      <c r="O205" t="s">
        <v>74</v>
      </c>
      <c r="P205" t="s">
        <v>74</v>
      </c>
      <c r="Q205" t="s">
        <v>74</v>
      </c>
      <c r="R205" t="s">
        <v>74</v>
      </c>
      <c r="S205" t="s">
        <v>74</v>
      </c>
      <c r="T205" t="s">
        <v>3023</v>
      </c>
      <c r="U205" t="s">
        <v>3024</v>
      </c>
      <c r="V205" t="s">
        <v>3025</v>
      </c>
      <c r="W205" t="s">
        <v>1697</v>
      </c>
      <c r="X205" t="s">
        <v>1222</v>
      </c>
      <c r="Y205" t="s">
        <v>3026</v>
      </c>
      <c r="Z205" t="s">
        <v>3027</v>
      </c>
      <c r="AA205" t="s">
        <v>3028</v>
      </c>
      <c r="AB205" t="s">
        <v>74</v>
      </c>
      <c r="AC205" t="s">
        <v>74</v>
      </c>
      <c r="AD205" t="s">
        <v>74</v>
      </c>
      <c r="AE205" t="s">
        <v>74</v>
      </c>
      <c r="AF205" t="s">
        <v>74</v>
      </c>
      <c r="AG205">
        <v>58</v>
      </c>
      <c r="AH205">
        <v>53</v>
      </c>
      <c r="AI205">
        <v>53</v>
      </c>
      <c r="AJ205">
        <v>0</v>
      </c>
      <c r="AK205">
        <v>2</v>
      </c>
      <c r="AL205" t="s">
        <v>2057</v>
      </c>
      <c r="AM205" t="s">
        <v>554</v>
      </c>
      <c r="AN205" t="s">
        <v>2997</v>
      </c>
      <c r="AO205" t="s">
        <v>2979</v>
      </c>
      <c r="AP205" t="s">
        <v>3006</v>
      </c>
      <c r="AQ205" t="s">
        <v>74</v>
      </c>
      <c r="AR205" t="s">
        <v>2980</v>
      </c>
      <c r="AS205" t="s">
        <v>2981</v>
      </c>
      <c r="AT205" t="s">
        <v>2982</v>
      </c>
      <c r="AU205">
        <v>1999</v>
      </c>
      <c r="AV205">
        <v>11</v>
      </c>
      <c r="AW205">
        <v>3</v>
      </c>
      <c r="AX205" t="s">
        <v>74</v>
      </c>
      <c r="AY205" t="s">
        <v>74</v>
      </c>
      <c r="AZ205" t="s">
        <v>74</v>
      </c>
      <c r="BA205" t="s">
        <v>74</v>
      </c>
      <c r="BB205">
        <v>305</v>
      </c>
      <c r="BC205">
        <v>315</v>
      </c>
      <c r="BD205" t="s">
        <v>74</v>
      </c>
      <c r="BE205" t="s">
        <v>3029</v>
      </c>
      <c r="BF205" t="str">
        <f>HYPERLINK("http://dx.doi.org/10.1017/S0954102099000395","http://dx.doi.org/10.1017/S0954102099000395")</f>
        <v>http://dx.doi.org/10.1017/S0954102099000395</v>
      </c>
      <c r="BG205" t="s">
        <v>74</v>
      </c>
      <c r="BH205" t="s">
        <v>74</v>
      </c>
      <c r="BI205">
        <v>11</v>
      </c>
      <c r="BJ205" t="s">
        <v>2984</v>
      </c>
      <c r="BK205" t="s">
        <v>96</v>
      </c>
      <c r="BL205" t="s">
        <v>2985</v>
      </c>
      <c r="BM205" t="s">
        <v>2986</v>
      </c>
      <c r="BN205" t="s">
        <v>74</v>
      </c>
      <c r="BO205" t="s">
        <v>74</v>
      </c>
      <c r="BP205" t="s">
        <v>74</v>
      </c>
      <c r="BQ205" t="s">
        <v>74</v>
      </c>
      <c r="BR205" t="s">
        <v>99</v>
      </c>
      <c r="BS205" t="s">
        <v>3030</v>
      </c>
      <c r="BT205" t="str">
        <f>HYPERLINK("https%3A%2F%2Fwww.webofscience.com%2Fwos%2Fwoscc%2Ffull-record%2FWOS:000086753000005","View Full Record in Web of Science")</f>
        <v>View Full Record in Web of Science</v>
      </c>
    </row>
    <row r="206" spans="1:72" x14ac:dyDescent="0.15">
      <c r="A206" t="s">
        <v>72</v>
      </c>
      <c r="B206" t="s">
        <v>3031</v>
      </c>
      <c r="C206" t="s">
        <v>74</v>
      </c>
      <c r="D206" t="s">
        <v>74</v>
      </c>
      <c r="E206" t="s">
        <v>74</v>
      </c>
      <c r="F206" t="s">
        <v>3031</v>
      </c>
      <c r="G206" t="s">
        <v>74</v>
      </c>
      <c r="H206" t="s">
        <v>74</v>
      </c>
      <c r="I206" t="s">
        <v>3032</v>
      </c>
      <c r="J206" t="s">
        <v>2978</v>
      </c>
      <c r="K206" t="s">
        <v>74</v>
      </c>
      <c r="L206" t="s">
        <v>74</v>
      </c>
      <c r="M206" t="s">
        <v>77</v>
      </c>
      <c r="N206" t="s">
        <v>78</v>
      </c>
      <c r="O206" t="s">
        <v>74</v>
      </c>
      <c r="P206" t="s">
        <v>74</v>
      </c>
      <c r="Q206" t="s">
        <v>74</v>
      </c>
      <c r="R206" t="s">
        <v>74</v>
      </c>
      <c r="S206" t="s">
        <v>74</v>
      </c>
      <c r="T206" t="s">
        <v>3033</v>
      </c>
      <c r="U206" t="s">
        <v>3034</v>
      </c>
      <c r="V206" t="s">
        <v>3035</v>
      </c>
      <c r="W206" t="s">
        <v>3036</v>
      </c>
      <c r="X206" t="s">
        <v>3037</v>
      </c>
      <c r="Y206" t="s">
        <v>3038</v>
      </c>
      <c r="Z206" t="s">
        <v>74</v>
      </c>
      <c r="AA206" t="s">
        <v>74</v>
      </c>
      <c r="AB206" t="s">
        <v>74</v>
      </c>
      <c r="AC206" t="s">
        <v>74</v>
      </c>
      <c r="AD206" t="s">
        <v>74</v>
      </c>
      <c r="AE206" t="s">
        <v>74</v>
      </c>
      <c r="AF206" t="s">
        <v>74</v>
      </c>
      <c r="AG206">
        <v>42</v>
      </c>
      <c r="AH206">
        <v>17</v>
      </c>
      <c r="AI206">
        <v>17</v>
      </c>
      <c r="AJ206">
        <v>2</v>
      </c>
      <c r="AK206">
        <v>10</v>
      </c>
      <c r="AL206" t="s">
        <v>2057</v>
      </c>
      <c r="AM206" t="s">
        <v>554</v>
      </c>
      <c r="AN206" t="s">
        <v>2058</v>
      </c>
      <c r="AO206" t="s">
        <v>2979</v>
      </c>
      <c r="AP206" t="s">
        <v>74</v>
      </c>
      <c r="AQ206" t="s">
        <v>74</v>
      </c>
      <c r="AR206" t="s">
        <v>2980</v>
      </c>
      <c r="AS206" t="s">
        <v>2981</v>
      </c>
      <c r="AT206" t="s">
        <v>2982</v>
      </c>
      <c r="AU206">
        <v>1999</v>
      </c>
      <c r="AV206">
        <v>11</v>
      </c>
      <c r="AW206">
        <v>3</v>
      </c>
      <c r="AX206" t="s">
        <v>74</v>
      </c>
      <c r="AY206" t="s">
        <v>74</v>
      </c>
      <c r="AZ206" t="s">
        <v>74</v>
      </c>
      <c r="BA206" t="s">
        <v>74</v>
      </c>
      <c r="BB206">
        <v>316</v>
      </c>
      <c r="BC206">
        <v>321</v>
      </c>
      <c r="BD206" t="s">
        <v>74</v>
      </c>
      <c r="BE206" t="s">
        <v>3039</v>
      </c>
      <c r="BF206" t="str">
        <f>HYPERLINK("http://dx.doi.org/10.1017/S0954102099000401","http://dx.doi.org/10.1017/S0954102099000401")</f>
        <v>http://dx.doi.org/10.1017/S0954102099000401</v>
      </c>
      <c r="BG206" t="s">
        <v>74</v>
      </c>
      <c r="BH206" t="s">
        <v>74</v>
      </c>
      <c r="BI206">
        <v>6</v>
      </c>
      <c r="BJ206" t="s">
        <v>2984</v>
      </c>
      <c r="BK206" t="s">
        <v>96</v>
      </c>
      <c r="BL206" t="s">
        <v>2985</v>
      </c>
      <c r="BM206" t="s">
        <v>2986</v>
      </c>
      <c r="BN206" t="s">
        <v>74</v>
      </c>
      <c r="BO206" t="s">
        <v>74</v>
      </c>
      <c r="BP206" t="s">
        <v>74</v>
      </c>
      <c r="BQ206" t="s">
        <v>74</v>
      </c>
      <c r="BR206" t="s">
        <v>99</v>
      </c>
      <c r="BS206" t="s">
        <v>3040</v>
      </c>
      <c r="BT206" t="str">
        <f>HYPERLINK("https%3A%2F%2Fwww.webofscience.com%2Fwos%2Fwoscc%2Ffull-record%2FWOS:000086753000006","View Full Record in Web of Science")</f>
        <v>View Full Record in Web of Science</v>
      </c>
    </row>
    <row r="207" spans="1:72" x14ac:dyDescent="0.15">
      <c r="A207" t="s">
        <v>72</v>
      </c>
      <c r="B207" t="s">
        <v>3041</v>
      </c>
      <c r="C207" t="s">
        <v>74</v>
      </c>
      <c r="D207" t="s">
        <v>74</v>
      </c>
      <c r="E207" t="s">
        <v>74</v>
      </c>
      <c r="F207" t="s">
        <v>3041</v>
      </c>
      <c r="G207" t="s">
        <v>74</v>
      </c>
      <c r="H207" t="s">
        <v>74</v>
      </c>
      <c r="I207" t="s">
        <v>3042</v>
      </c>
      <c r="J207" t="s">
        <v>2978</v>
      </c>
      <c r="K207" t="s">
        <v>74</v>
      </c>
      <c r="L207" t="s">
        <v>74</v>
      </c>
      <c r="M207" t="s">
        <v>77</v>
      </c>
      <c r="N207" t="s">
        <v>78</v>
      </c>
      <c r="O207" t="s">
        <v>74</v>
      </c>
      <c r="P207" t="s">
        <v>74</v>
      </c>
      <c r="Q207" t="s">
        <v>74</v>
      </c>
      <c r="R207" t="s">
        <v>74</v>
      </c>
      <c r="S207" t="s">
        <v>74</v>
      </c>
      <c r="T207" t="s">
        <v>3043</v>
      </c>
      <c r="U207" t="s">
        <v>3044</v>
      </c>
      <c r="V207" t="s">
        <v>3045</v>
      </c>
      <c r="W207" t="s">
        <v>3046</v>
      </c>
      <c r="X207" t="s">
        <v>3047</v>
      </c>
      <c r="Y207" t="s">
        <v>3048</v>
      </c>
      <c r="Z207" t="s">
        <v>74</v>
      </c>
      <c r="AA207" t="s">
        <v>3049</v>
      </c>
      <c r="AB207" t="s">
        <v>3050</v>
      </c>
      <c r="AC207" t="s">
        <v>74</v>
      </c>
      <c r="AD207" t="s">
        <v>74</v>
      </c>
      <c r="AE207" t="s">
        <v>74</v>
      </c>
      <c r="AF207" t="s">
        <v>74</v>
      </c>
      <c r="AG207">
        <v>45</v>
      </c>
      <c r="AH207">
        <v>10</v>
      </c>
      <c r="AI207">
        <v>10</v>
      </c>
      <c r="AJ207">
        <v>0</v>
      </c>
      <c r="AK207">
        <v>5</v>
      </c>
      <c r="AL207" t="s">
        <v>2057</v>
      </c>
      <c r="AM207" t="s">
        <v>554</v>
      </c>
      <c r="AN207" t="s">
        <v>2058</v>
      </c>
      <c r="AO207" t="s">
        <v>2979</v>
      </c>
      <c r="AP207" t="s">
        <v>74</v>
      </c>
      <c r="AQ207" t="s">
        <v>74</v>
      </c>
      <c r="AR207" t="s">
        <v>2980</v>
      </c>
      <c r="AS207" t="s">
        <v>2981</v>
      </c>
      <c r="AT207" t="s">
        <v>2982</v>
      </c>
      <c r="AU207">
        <v>1999</v>
      </c>
      <c r="AV207">
        <v>11</v>
      </c>
      <c r="AW207">
        <v>3</v>
      </c>
      <c r="AX207" t="s">
        <v>74</v>
      </c>
      <c r="AY207" t="s">
        <v>74</v>
      </c>
      <c r="AZ207" t="s">
        <v>74</v>
      </c>
      <c r="BA207" t="s">
        <v>74</v>
      </c>
      <c r="BB207">
        <v>323</v>
      </c>
      <c r="BC207">
        <v>331</v>
      </c>
      <c r="BD207" t="s">
        <v>74</v>
      </c>
      <c r="BE207" t="s">
        <v>3051</v>
      </c>
      <c r="BF207" t="str">
        <f>HYPERLINK("http://dx.doi.org/10.1017/S0954102099000413","http://dx.doi.org/10.1017/S0954102099000413")</f>
        <v>http://dx.doi.org/10.1017/S0954102099000413</v>
      </c>
      <c r="BG207" t="s">
        <v>74</v>
      </c>
      <c r="BH207" t="s">
        <v>74</v>
      </c>
      <c r="BI207">
        <v>9</v>
      </c>
      <c r="BJ207" t="s">
        <v>2984</v>
      </c>
      <c r="BK207" t="s">
        <v>96</v>
      </c>
      <c r="BL207" t="s">
        <v>2985</v>
      </c>
      <c r="BM207" t="s">
        <v>2986</v>
      </c>
      <c r="BN207" t="s">
        <v>74</v>
      </c>
      <c r="BO207" t="s">
        <v>74</v>
      </c>
      <c r="BP207" t="s">
        <v>74</v>
      </c>
      <c r="BQ207" t="s">
        <v>74</v>
      </c>
      <c r="BR207" t="s">
        <v>99</v>
      </c>
      <c r="BS207" t="s">
        <v>3052</v>
      </c>
      <c r="BT207" t="str">
        <f>HYPERLINK("https%3A%2F%2Fwww.webofscience.com%2Fwos%2Fwoscc%2Ffull-record%2FWOS:000086753000007","View Full Record in Web of Science")</f>
        <v>View Full Record in Web of Science</v>
      </c>
    </row>
    <row r="208" spans="1:72" x14ac:dyDescent="0.15">
      <c r="A208" t="s">
        <v>72</v>
      </c>
      <c r="B208" t="s">
        <v>3053</v>
      </c>
      <c r="C208" t="s">
        <v>74</v>
      </c>
      <c r="D208" t="s">
        <v>74</v>
      </c>
      <c r="E208" t="s">
        <v>74</v>
      </c>
      <c r="F208" t="s">
        <v>3053</v>
      </c>
      <c r="G208" t="s">
        <v>74</v>
      </c>
      <c r="H208" t="s">
        <v>74</v>
      </c>
      <c r="I208" t="s">
        <v>3054</v>
      </c>
      <c r="J208" t="s">
        <v>2978</v>
      </c>
      <c r="K208" t="s">
        <v>74</v>
      </c>
      <c r="L208" t="s">
        <v>74</v>
      </c>
      <c r="M208" t="s">
        <v>77</v>
      </c>
      <c r="N208" t="s">
        <v>78</v>
      </c>
      <c r="O208" t="s">
        <v>74</v>
      </c>
      <c r="P208" t="s">
        <v>74</v>
      </c>
      <c r="Q208" t="s">
        <v>74</v>
      </c>
      <c r="R208" t="s">
        <v>74</v>
      </c>
      <c r="S208" t="s">
        <v>74</v>
      </c>
      <c r="T208" t="s">
        <v>3055</v>
      </c>
      <c r="U208" t="s">
        <v>3056</v>
      </c>
      <c r="V208" t="s">
        <v>3057</v>
      </c>
      <c r="W208" t="s">
        <v>151</v>
      </c>
      <c r="X208" t="s">
        <v>131</v>
      </c>
      <c r="Y208" t="s">
        <v>3058</v>
      </c>
      <c r="Z208" t="s">
        <v>74</v>
      </c>
      <c r="AA208" t="s">
        <v>74</v>
      </c>
      <c r="AB208" t="s">
        <v>3059</v>
      </c>
      <c r="AC208" t="s">
        <v>74</v>
      </c>
      <c r="AD208" t="s">
        <v>74</v>
      </c>
      <c r="AE208" t="s">
        <v>74</v>
      </c>
      <c r="AF208" t="s">
        <v>74</v>
      </c>
      <c r="AG208">
        <v>16</v>
      </c>
      <c r="AH208">
        <v>4</v>
      </c>
      <c r="AI208">
        <v>4</v>
      </c>
      <c r="AJ208">
        <v>0</v>
      </c>
      <c r="AK208">
        <v>0</v>
      </c>
      <c r="AL208" t="s">
        <v>2057</v>
      </c>
      <c r="AM208" t="s">
        <v>554</v>
      </c>
      <c r="AN208" t="s">
        <v>2058</v>
      </c>
      <c r="AO208" t="s">
        <v>2979</v>
      </c>
      <c r="AP208" t="s">
        <v>74</v>
      </c>
      <c r="AQ208" t="s">
        <v>74</v>
      </c>
      <c r="AR208" t="s">
        <v>2980</v>
      </c>
      <c r="AS208" t="s">
        <v>2981</v>
      </c>
      <c r="AT208" t="s">
        <v>2982</v>
      </c>
      <c r="AU208">
        <v>1999</v>
      </c>
      <c r="AV208">
        <v>11</v>
      </c>
      <c r="AW208">
        <v>3</v>
      </c>
      <c r="AX208" t="s">
        <v>74</v>
      </c>
      <c r="AY208" t="s">
        <v>74</v>
      </c>
      <c r="AZ208" t="s">
        <v>74</v>
      </c>
      <c r="BA208" t="s">
        <v>74</v>
      </c>
      <c r="BB208">
        <v>332</v>
      </c>
      <c r="BC208">
        <v>337</v>
      </c>
      <c r="BD208" t="s">
        <v>74</v>
      </c>
      <c r="BE208" t="s">
        <v>3060</v>
      </c>
      <c r="BF208" t="str">
        <f>HYPERLINK("http://dx.doi.org/10.1017/S0954102099000425","http://dx.doi.org/10.1017/S0954102099000425")</f>
        <v>http://dx.doi.org/10.1017/S0954102099000425</v>
      </c>
      <c r="BG208" t="s">
        <v>74</v>
      </c>
      <c r="BH208" t="s">
        <v>74</v>
      </c>
      <c r="BI208">
        <v>6</v>
      </c>
      <c r="BJ208" t="s">
        <v>2984</v>
      </c>
      <c r="BK208" t="s">
        <v>96</v>
      </c>
      <c r="BL208" t="s">
        <v>2985</v>
      </c>
      <c r="BM208" t="s">
        <v>2986</v>
      </c>
      <c r="BN208" t="s">
        <v>74</v>
      </c>
      <c r="BO208" t="s">
        <v>74</v>
      </c>
      <c r="BP208" t="s">
        <v>74</v>
      </c>
      <c r="BQ208" t="s">
        <v>74</v>
      </c>
      <c r="BR208" t="s">
        <v>99</v>
      </c>
      <c r="BS208" t="s">
        <v>3061</v>
      </c>
      <c r="BT208" t="str">
        <f>HYPERLINK("https%3A%2F%2Fwww.webofscience.com%2Fwos%2Fwoscc%2Ffull-record%2FWOS:000086753000008","View Full Record in Web of Science")</f>
        <v>View Full Record in Web of Science</v>
      </c>
    </row>
    <row r="209" spans="1:72" x14ac:dyDescent="0.15">
      <c r="A209" t="s">
        <v>72</v>
      </c>
      <c r="B209" t="s">
        <v>3062</v>
      </c>
      <c r="C209" t="s">
        <v>74</v>
      </c>
      <c r="D209" t="s">
        <v>74</v>
      </c>
      <c r="E209" t="s">
        <v>74</v>
      </c>
      <c r="F209" t="s">
        <v>3062</v>
      </c>
      <c r="G209" t="s">
        <v>74</v>
      </c>
      <c r="H209" t="s">
        <v>74</v>
      </c>
      <c r="I209" t="s">
        <v>3063</v>
      </c>
      <c r="J209" t="s">
        <v>2978</v>
      </c>
      <c r="K209" t="s">
        <v>74</v>
      </c>
      <c r="L209" t="s">
        <v>74</v>
      </c>
      <c r="M209" t="s">
        <v>77</v>
      </c>
      <c r="N209" t="s">
        <v>78</v>
      </c>
      <c r="O209" t="s">
        <v>74</v>
      </c>
      <c r="P209" t="s">
        <v>74</v>
      </c>
      <c r="Q209" t="s">
        <v>74</v>
      </c>
      <c r="R209" t="s">
        <v>74</v>
      </c>
      <c r="S209" t="s">
        <v>74</v>
      </c>
      <c r="T209" t="s">
        <v>3064</v>
      </c>
      <c r="U209" t="s">
        <v>3065</v>
      </c>
      <c r="V209" t="s">
        <v>3066</v>
      </c>
      <c r="W209" t="s">
        <v>3067</v>
      </c>
      <c r="X209" t="s">
        <v>3068</v>
      </c>
      <c r="Y209" t="s">
        <v>3069</v>
      </c>
      <c r="Z209" t="s">
        <v>74</v>
      </c>
      <c r="AA209" t="s">
        <v>3070</v>
      </c>
      <c r="AB209" t="s">
        <v>3071</v>
      </c>
      <c r="AC209" t="s">
        <v>74</v>
      </c>
      <c r="AD209" t="s">
        <v>74</v>
      </c>
      <c r="AE209" t="s">
        <v>74</v>
      </c>
      <c r="AF209" t="s">
        <v>74</v>
      </c>
      <c r="AG209">
        <v>48</v>
      </c>
      <c r="AH209">
        <v>26</v>
      </c>
      <c r="AI209">
        <v>32</v>
      </c>
      <c r="AJ209">
        <v>0</v>
      </c>
      <c r="AK209">
        <v>5</v>
      </c>
      <c r="AL209" t="s">
        <v>2057</v>
      </c>
      <c r="AM209" t="s">
        <v>554</v>
      </c>
      <c r="AN209" t="s">
        <v>2058</v>
      </c>
      <c r="AO209" t="s">
        <v>2979</v>
      </c>
      <c r="AP209" t="s">
        <v>74</v>
      </c>
      <c r="AQ209" t="s">
        <v>74</v>
      </c>
      <c r="AR209" t="s">
        <v>2980</v>
      </c>
      <c r="AS209" t="s">
        <v>2981</v>
      </c>
      <c r="AT209" t="s">
        <v>2982</v>
      </c>
      <c r="AU209">
        <v>1999</v>
      </c>
      <c r="AV209">
        <v>11</v>
      </c>
      <c r="AW209">
        <v>3</v>
      </c>
      <c r="AX209" t="s">
        <v>74</v>
      </c>
      <c r="AY209" t="s">
        <v>74</v>
      </c>
      <c r="AZ209" t="s">
        <v>74</v>
      </c>
      <c r="BA209" t="s">
        <v>74</v>
      </c>
      <c r="BB209">
        <v>338</v>
      </c>
      <c r="BC209">
        <v>352</v>
      </c>
      <c r="BD209" t="s">
        <v>74</v>
      </c>
      <c r="BE209" t="s">
        <v>3072</v>
      </c>
      <c r="BF209" t="str">
        <f>HYPERLINK("http://dx.doi.org/10.1017/S0954102099000437","http://dx.doi.org/10.1017/S0954102099000437")</f>
        <v>http://dx.doi.org/10.1017/S0954102099000437</v>
      </c>
      <c r="BG209" t="s">
        <v>74</v>
      </c>
      <c r="BH209" t="s">
        <v>74</v>
      </c>
      <c r="BI209">
        <v>15</v>
      </c>
      <c r="BJ209" t="s">
        <v>2984</v>
      </c>
      <c r="BK209" t="s">
        <v>96</v>
      </c>
      <c r="BL209" t="s">
        <v>2985</v>
      </c>
      <c r="BM209" t="s">
        <v>2986</v>
      </c>
      <c r="BN209" t="s">
        <v>74</v>
      </c>
      <c r="BO209" t="s">
        <v>74</v>
      </c>
      <c r="BP209" t="s">
        <v>74</v>
      </c>
      <c r="BQ209" t="s">
        <v>74</v>
      </c>
      <c r="BR209" t="s">
        <v>99</v>
      </c>
      <c r="BS209" t="s">
        <v>3073</v>
      </c>
      <c r="BT209" t="str">
        <f>HYPERLINK("https%3A%2F%2Fwww.webofscience.com%2Fwos%2Fwoscc%2Ffull-record%2FWOS:000086753000009","View Full Record in Web of Science")</f>
        <v>View Full Record in Web of Science</v>
      </c>
    </row>
    <row r="210" spans="1:72" x14ac:dyDescent="0.15">
      <c r="A210" t="s">
        <v>72</v>
      </c>
      <c r="B210" t="s">
        <v>3074</v>
      </c>
      <c r="C210" t="s">
        <v>74</v>
      </c>
      <c r="D210" t="s">
        <v>74</v>
      </c>
      <c r="E210" t="s">
        <v>74</v>
      </c>
      <c r="F210" t="s">
        <v>3074</v>
      </c>
      <c r="G210" t="s">
        <v>74</v>
      </c>
      <c r="H210" t="s">
        <v>74</v>
      </c>
      <c r="I210" t="s">
        <v>3075</v>
      </c>
      <c r="J210" t="s">
        <v>2978</v>
      </c>
      <c r="K210" t="s">
        <v>74</v>
      </c>
      <c r="L210" t="s">
        <v>74</v>
      </c>
      <c r="M210" t="s">
        <v>77</v>
      </c>
      <c r="N210" t="s">
        <v>78</v>
      </c>
      <c r="O210" t="s">
        <v>74</v>
      </c>
      <c r="P210" t="s">
        <v>74</v>
      </c>
      <c r="Q210" t="s">
        <v>74</v>
      </c>
      <c r="R210" t="s">
        <v>74</v>
      </c>
      <c r="S210" t="s">
        <v>74</v>
      </c>
      <c r="T210" t="s">
        <v>3076</v>
      </c>
      <c r="U210" t="s">
        <v>3077</v>
      </c>
      <c r="V210" t="s">
        <v>3078</v>
      </c>
      <c r="W210" t="s">
        <v>3079</v>
      </c>
      <c r="X210" t="s">
        <v>3080</v>
      </c>
      <c r="Y210" t="s">
        <v>3081</v>
      </c>
      <c r="Z210" t="s">
        <v>74</v>
      </c>
      <c r="AA210" t="s">
        <v>3082</v>
      </c>
      <c r="AB210" t="s">
        <v>3083</v>
      </c>
      <c r="AC210" t="s">
        <v>74</v>
      </c>
      <c r="AD210" t="s">
        <v>74</v>
      </c>
      <c r="AE210" t="s">
        <v>74</v>
      </c>
      <c r="AF210" t="s">
        <v>74</v>
      </c>
      <c r="AG210">
        <v>37</v>
      </c>
      <c r="AH210">
        <v>21</v>
      </c>
      <c r="AI210">
        <v>21</v>
      </c>
      <c r="AJ210">
        <v>0</v>
      </c>
      <c r="AK210">
        <v>2</v>
      </c>
      <c r="AL210" t="s">
        <v>2057</v>
      </c>
      <c r="AM210" t="s">
        <v>554</v>
      </c>
      <c r="AN210" t="s">
        <v>2058</v>
      </c>
      <c r="AO210" t="s">
        <v>2979</v>
      </c>
      <c r="AP210" t="s">
        <v>74</v>
      </c>
      <c r="AQ210" t="s">
        <v>74</v>
      </c>
      <c r="AR210" t="s">
        <v>2980</v>
      </c>
      <c r="AS210" t="s">
        <v>2981</v>
      </c>
      <c r="AT210" t="s">
        <v>2982</v>
      </c>
      <c r="AU210">
        <v>1999</v>
      </c>
      <c r="AV210">
        <v>11</v>
      </c>
      <c r="AW210">
        <v>3</v>
      </c>
      <c r="AX210" t="s">
        <v>74</v>
      </c>
      <c r="AY210" t="s">
        <v>74</v>
      </c>
      <c r="AZ210" t="s">
        <v>74</v>
      </c>
      <c r="BA210" t="s">
        <v>74</v>
      </c>
      <c r="BB210">
        <v>353</v>
      </c>
      <c r="BC210">
        <v>361</v>
      </c>
      <c r="BD210" t="s">
        <v>74</v>
      </c>
      <c r="BE210" t="s">
        <v>3084</v>
      </c>
      <c r="BF210" t="str">
        <f>HYPERLINK("http://dx.doi.org/10.1017/S0954102099000449","http://dx.doi.org/10.1017/S0954102099000449")</f>
        <v>http://dx.doi.org/10.1017/S0954102099000449</v>
      </c>
      <c r="BG210" t="s">
        <v>74</v>
      </c>
      <c r="BH210" t="s">
        <v>74</v>
      </c>
      <c r="BI210">
        <v>9</v>
      </c>
      <c r="BJ210" t="s">
        <v>2984</v>
      </c>
      <c r="BK210" t="s">
        <v>96</v>
      </c>
      <c r="BL210" t="s">
        <v>2985</v>
      </c>
      <c r="BM210" t="s">
        <v>2986</v>
      </c>
      <c r="BN210" t="s">
        <v>74</v>
      </c>
      <c r="BO210" t="s">
        <v>74</v>
      </c>
      <c r="BP210" t="s">
        <v>74</v>
      </c>
      <c r="BQ210" t="s">
        <v>74</v>
      </c>
      <c r="BR210" t="s">
        <v>99</v>
      </c>
      <c r="BS210" t="s">
        <v>3085</v>
      </c>
      <c r="BT210" t="str">
        <f>HYPERLINK("https%3A%2F%2Fwww.webofscience.com%2Fwos%2Fwoscc%2Ffull-record%2FWOS:000086753000010","View Full Record in Web of Science")</f>
        <v>View Full Record in Web of Science</v>
      </c>
    </row>
    <row r="211" spans="1:72" x14ac:dyDescent="0.15">
      <c r="A211" t="s">
        <v>72</v>
      </c>
      <c r="B211" t="s">
        <v>3086</v>
      </c>
      <c r="C211" t="s">
        <v>74</v>
      </c>
      <c r="D211" t="s">
        <v>74</v>
      </c>
      <c r="E211" t="s">
        <v>74</v>
      </c>
      <c r="F211" t="s">
        <v>3086</v>
      </c>
      <c r="G211" t="s">
        <v>74</v>
      </c>
      <c r="H211" t="s">
        <v>74</v>
      </c>
      <c r="I211" t="s">
        <v>3087</v>
      </c>
      <c r="J211" t="s">
        <v>2978</v>
      </c>
      <c r="K211" t="s">
        <v>74</v>
      </c>
      <c r="L211" t="s">
        <v>74</v>
      </c>
      <c r="M211" t="s">
        <v>77</v>
      </c>
      <c r="N211" t="s">
        <v>78</v>
      </c>
      <c r="O211" t="s">
        <v>74</v>
      </c>
      <c r="P211" t="s">
        <v>74</v>
      </c>
      <c r="Q211" t="s">
        <v>74</v>
      </c>
      <c r="R211" t="s">
        <v>74</v>
      </c>
      <c r="S211" t="s">
        <v>74</v>
      </c>
      <c r="T211" t="s">
        <v>3088</v>
      </c>
      <c r="U211" t="s">
        <v>3089</v>
      </c>
      <c r="V211" t="s">
        <v>3090</v>
      </c>
      <c r="W211" t="s">
        <v>151</v>
      </c>
      <c r="X211" t="s">
        <v>131</v>
      </c>
      <c r="Y211" t="s">
        <v>3091</v>
      </c>
      <c r="Z211" t="s">
        <v>74</v>
      </c>
      <c r="AA211" t="s">
        <v>74</v>
      </c>
      <c r="AB211" t="s">
        <v>74</v>
      </c>
      <c r="AC211" t="s">
        <v>74</v>
      </c>
      <c r="AD211" t="s">
        <v>74</v>
      </c>
      <c r="AE211" t="s">
        <v>74</v>
      </c>
      <c r="AF211" t="s">
        <v>74</v>
      </c>
      <c r="AG211">
        <v>79</v>
      </c>
      <c r="AH211">
        <v>52</v>
      </c>
      <c r="AI211">
        <v>56</v>
      </c>
      <c r="AJ211">
        <v>0</v>
      </c>
      <c r="AK211">
        <v>5</v>
      </c>
      <c r="AL211" t="s">
        <v>2057</v>
      </c>
      <c r="AM211" t="s">
        <v>554</v>
      </c>
      <c r="AN211" t="s">
        <v>2058</v>
      </c>
      <c r="AO211" t="s">
        <v>2979</v>
      </c>
      <c r="AP211" t="s">
        <v>74</v>
      </c>
      <c r="AQ211" t="s">
        <v>74</v>
      </c>
      <c r="AR211" t="s">
        <v>2980</v>
      </c>
      <c r="AS211" t="s">
        <v>2981</v>
      </c>
      <c r="AT211" t="s">
        <v>2982</v>
      </c>
      <c r="AU211">
        <v>1999</v>
      </c>
      <c r="AV211">
        <v>11</v>
      </c>
      <c r="AW211">
        <v>3</v>
      </c>
      <c r="AX211" t="s">
        <v>74</v>
      </c>
      <c r="AY211" t="s">
        <v>74</v>
      </c>
      <c r="AZ211" t="s">
        <v>74</v>
      </c>
      <c r="BA211" t="s">
        <v>74</v>
      </c>
      <c r="BB211">
        <v>362</v>
      </c>
      <c r="BC211">
        <v>378</v>
      </c>
      <c r="BD211" t="s">
        <v>74</v>
      </c>
      <c r="BE211" t="s">
        <v>3092</v>
      </c>
      <c r="BF211" t="str">
        <f>HYPERLINK("http://dx.doi.org/10.1017/S0954102099000450","http://dx.doi.org/10.1017/S0954102099000450")</f>
        <v>http://dx.doi.org/10.1017/S0954102099000450</v>
      </c>
      <c r="BG211" t="s">
        <v>74</v>
      </c>
      <c r="BH211" t="s">
        <v>74</v>
      </c>
      <c r="BI211">
        <v>17</v>
      </c>
      <c r="BJ211" t="s">
        <v>2984</v>
      </c>
      <c r="BK211" t="s">
        <v>96</v>
      </c>
      <c r="BL211" t="s">
        <v>2985</v>
      </c>
      <c r="BM211" t="s">
        <v>2986</v>
      </c>
      <c r="BN211" t="s">
        <v>74</v>
      </c>
      <c r="BO211" t="s">
        <v>74</v>
      </c>
      <c r="BP211" t="s">
        <v>74</v>
      </c>
      <c r="BQ211" t="s">
        <v>74</v>
      </c>
      <c r="BR211" t="s">
        <v>99</v>
      </c>
      <c r="BS211" t="s">
        <v>3093</v>
      </c>
      <c r="BT211" t="str">
        <f>HYPERLINK("https%3A%2F%2Fwww.webofscience.com%2Fwos%2Fwoscc%2Ffull-record%2FWOS:000086753000011","View Full Record in Web of Science")</f>
        <v>View Full Record in Web of Science</v>
      </c>
    </row>
    <row r="212" spans="1:72" x14ac:dyDescent="0.15">
      <c r="A212" t="s">
        <v>72</v>
      </c>
      <c r="B212" t="s">
        <v>3094</v>
      </c>
      <c r="C212" t="s">
        <v>74</v>
      </c>
      <c r="D212" t="s">
        <v>74</v>
      </c>
      <c r="E212" t="s">
        <v>74</v>
      </c>
      <c r="F212" t="s">
        <v>3094</v>
      </c>
      <c r="G212" t="s">
        <v>74</v>
      </c>
      <c r="H212" t="s">
        <v>74</v>
      </c>
      <c r="I212" t="s">
        <v>3095</v>
      </c>
      <c r="J212" t="s">
        <v>3096</v>
      </c>
      <c r="K212" t="s">
        <v>74</v>
      </c>
      <c r="L212" t="s">
        <v>74</v>
      </c>
      <c r="M212" t="s">
        <v>77</v>
      </c>
      <c r="N212" t="s">
        <v>78</v>
      </c>
      <c r="O212" t="s">
        <v>74</v>
      </c>
      <c r="P212" t="s">
        <v>74</v>
      </c>
      <c r="Q212" t="s">
        <v>74</v>
      </c>
      <c r="R212" t="s">
        <v>74</v>
      </c>
      <c r="S212" t="s">
        <v>74</v>
      </c>
      <c r="T212" t="s">
        <v>74</v>
      </c>
      <c r="U212" t="s">
        <v>3097</v>
      </c>
      <c r="V212" t="s">
        <v>3098</v>
      </c>
      <c r="W212" t="s">
        <v>3099</v>
      </c>
      <c r="X212" t="s">
        <v>3100</v>
      </c>
      <c r="Y212" t="s">
        <v>3101</v>
      </c>
      <c r="Z212" t="s">
        <v>74</v>
      </c>
      <c r="AA212" t="s">
        <v>3102</v>
      </c>
      <c r="AB212" t="s">
        <v>3103</v>
      </c>
      <c r="AC212" t="s">
        <v>74</v>
      </c>
      <c r="AD212" t="s">
        <v>74</v>
      </c>
      <c r="AE212" t="s">
        <v>74</v>
      </c>
      <c r="AF212" t="s">
        <v>74</v>
      </c>
      <c r="AG212">
        <v>40</v>
      </c>
      <c r="AH212">
        <v>37</v>
      </c>
      <c r="AI212">
        <v>42</v>
      </c>
      <c r="AJ212">
        <v>0</v>
      </c>
      <c r="AK212">
        <v>13</v>
      </c>
      <c r="AL212" t="s">
        <v>3104</v>
      </c>
      <c r="AM212" t="s">
        <v>231</v>
      </c>
      <c r="AN212" t="s">
        <v>3105</v>
      </c>
      <c r="AO212" t="s">
        <v>3106</v>
      </c>
      <c r="AP212" t="s">
        <v>74</v>
      </c>
      <c r="AQ212" t="s">
        <v>74</v>
      </c>
      <c r="AR212" t="s">
        <v>3107</v>
      </c>
      <c r="AS212" t="s">
        <v>3108</v>
      </c>
      <c r="AT212" t="s">
        <v>2982</v>
      </c>
      <c r="AU212">
        <v>1999</v>
      </c>
      <c r="AV212">
        <v>65</v>
      </c>
      <c r="AW212">
        <v>9</v>
      </c>
      <c r="AX212" t="s">
        <v>74</v>
      </c>
      <c r="AY212" t="s">
        <v>74</v>
      </c>
      <c r="AZ212" t="s">
        <v>74</v>
      </c>
      <c r="BA212" t="s">
        <v>74</v>
      </c>
      <c r="BB212">
        <v>4014</v>
      </c>
      <c r="BC212">
        <v>4020</v>
      </c>
      <c r="BD212" t="s">
        <v>74</v>
      </c>
      <c r="BE212" t="s">
        <v>74</v>
      </c>
      <c r="BF212" t="s">
        <v>74</v>
      </c>
      <c r="BG212" t="s">
        <v>74</v>
      </c>
      <c r="BH212" t="s">
        <v>74</v>
      </c>
      <c r="BI212">
        <v>7</v>
      </c>
      <c r="BJ212" t="s">
        <v>3109</v>
      </c>
      <c r="BK212" t="s">
        <v>96</v>
      </c>
      <c r="BL212" t="s">
        <v>3109</v>
      </c>
      <c r="BM212" t="s">
        <v>3110</v>
      </c>
      <c r="BN212">
        <v>10473410</v>
      </c>
      <c r="BO212" t="s">
        <v>74</v>
      </c>
      <c r="BP212" t="s">
        <v>74</v>
      </c>
      <c r="BQ212" t="s">
        <v>74</v>
      </c>
      <c r="BR212" t="s">
        <v>99</v>
      </c>
      <c r="BS212" t="s">
        <v>3111</v>
      </c>
      <c r="BT212" t="str">
        <f>HYPERLINK("https%3A%2F%2Fwww.webofscience.com%2Fwos%2Fwoscc%2Ffull-record%2FWOS:000082421400039","View Full Record in Web of Science")</f>
        <v>View Full Record in Web of Science</v>
      </c>
    </row>
    <row r="213" spans="1:72" x14ac:dyDescent="0.15">
      <c r="A213" t="s">
        <v>72</v>
      </c>
      <c r="B213" t="s">
        <v>3112</v>
      </c>
      <c r="C213" t="s">
        <v>74</v>
      </c>
      <c r="D213" t="s">
        <v>74</v>
      </c>
      <c r="E213" t="s">
        <v>74</v>
      </c>
      <c r="F213" t="s">
        <v>3112</v>
      </c>
      <c r="G213" t="s">
        <v>74</v>
      </c>
      <c r="H213" t="s">
        <v>74</v>
      </c>
      <c r="I213" t="s">
        <v>3113</v>
      </c>
      <c r="J213" t="s">
        <v>3114</v>
      </c>
      <c r="K213" t="s">
        <v>74</v>
      </c>
      <c r="L213" t="s">
        <v>74</v>
      </c>
      <c r="M213" t="s">
        <v>77</v>
      </c>
      <c r="N213" t="s">
        <v>78</v>
      </c>
      <c r="O213" t="s">
        <v>74</v>
      </c>
      <c r="P213" t="s">
        <v>74</v>
      </c>
      <c r="Q213" t="s">
        <v>74</v>
      </c>
      <c r="R213" t="s">
        <v>74</v>
      </c>
      <c r="S213" t="s">
        <v>74</v>
      </c>
      <c r="T213" t="s">
        <v>3115</v>
      </c>
      <c r="U213" t="s">
        <v>74</v>
      </c>
      <c r="V213" t="s">
        <v>74</v>
      </c>
      <c r="W213" t="s">
        <v>3116</v>
      </c>
      <c r="X213" t="s">
        <v>3117</v>
      </c>
      <c r="Y213" t="s">
        <v>3118</v>
      </c>
      <c r="Z213" t="s">
        <v>74</v>
      </c>
      <c r="AA213" t="s">
        <v>74</v>
      </c>
      <c r="AB213" t="s">
        <v>74</v>
      </c>
      <c r="AC213" t="s">
        <v>74</v>
      </c>
      <c r="AD213" t="s">
        <v>74</v>
      </c>
      <c r="AE213" t="s">
        <v>74</v>
      </c>
      <c r="AF213" t="s">
        <v>74</v>
      </c>
      <c r="AG213">
        <v>4</v>
      </c>
      <c r="AH213">
        <v>6</v>
      </c>
      <c r="AI213">
        <v>7</v>
      </c>
      <c r="AJ213">
        <v>0</v>
      </c>
      <c r="AK213">
        <v>3</v>
      </c>
      <c r="AL213" t="s">
        <v>275</v>
      </c>
      <c r="AM213" t="s">
        <v>276</v>
      </c>
      <c r="AN213" t="s">
        <v>277</v>
      </c>
      <c r="AO213" t="s">
        <v>3119</v>
      </c>
      <c r="AP213" t="s">
        <v>74</v>
      </c>
      <c r="AQ213" t="s">
        <v>74</v>
      </c>
      <c r="AR213" t="s">
        <v>3120</v>
      </c>
      <c r="AS213" t="s">
        <v>3121</v>
      </c>
      <c r="AT213" t="s">
        <v>2982</v>
      </c>
      <c r="AU213">
        <v>1999</v>
      </c>
      <c r="AV213">
        <v>27</v>
      </c>
      <c r="AW213">
        <v>6</v>
      </c>
      <c r="AX213" t="s">
        <v>74</v>
      </c>
      <c r="AY213" t="s">
        <v>74</v>
      </c>
      <c r="AZ213" t="s">
        <v>74</v>
      </c>
      <c r="BA213" t="s">
        <v>74</v>
      </c>
      <c r="BB213">
        <v>663</v>
      </c>
      <c r="BC213">
        <v>664</v>
      </c>
      <c r="BD213" t="s">
        <v>74</v>
      </c>
      <c r="BE213" t="s">
        <v>3122</v>
      </c>
      <c r="BF213" t="str">
        <f>HYPERLINK("http://dx.doi.org/10.1016/S0305-1978(98)00120-3","http://dx.doi.org/10.1016/S0305-1978(98)00120-3")</f>
        <v>http://dx.doi.org/10.1016/S0305-1978(98)00120-3</v>
      </c>
      <c r="BG213" t="s">
        <v>74</v>
      </c>
      <c r="BH213" t="s">
        <v>74</v>
      </c>
      <c r="BI213">
        <v>2</v>
      </c>
      <c r="BJ213" t="s">
        <v>3123</v>
      </c>
      <c r="BK213" t="s">
        <v>96</v>
      </c>
      <c r="BL213" t="s">
        <v>3124</v>
      </c>
      <c r="BM213" t="s">
        <v>3125</v>
      </c>
      <c r="BN213" t="s">
        <v>74</v>
      </c>
      <c r="BO213" t="s">
        <v>74</v>
      </c>
      <c r="BP213" t="s">
        <v>74</v>
      </c>
      <c r="BQ213" t="s">
        <v>74</v>
      </c>
      <c r="BR213" t="s">
        <v>99</v>
      </c>
      <c r="BS213" t="s">
        <v>3126</v>
      </c>
      <c r="BT213" t="str">
        <f>HYPERLINK("https%3A%2F%2Fwww.webofscience.com%2Fwos%2Fwoscc%2Ffull-record%2FWOS:000080206900011","View Full Record in Web of Science")</f>
        <v>View Full Record in Web of Science</v>
      </c>
    </row>
    <row r="214" spans="1:72" x14ac:dyDescent="0.15">
      <c r="A214" t="s">
        <v>72</v>
      </c>
      <c r="B214" t="s">
        <v>3127</v>
      </c>
      <c r="C214" t="s">
        <v>74</v>
      </c>
      <c r="D214" t="s">
        <v>74</v>
      </c>
      <c r="E214" t="s">
        <v>74</v>
      </c>
      <c r="F214" t="s">
        <v>3127</v>
      </c>
      <c r="G214" t="s">
        <v>74</v>
      </c>
      <c r="H214" t="s">
        <v>74</v>
      </c>
      <c r="I214" t="s">
        <v>3128</v>
      </c>
      <c r="J214" t="s">
        <v>1941</v>
      </c>
      <c r="K214" t="s">
        <v>74</v>
      </c>
      <c r="L214" t="s">
        <v>74</v>
      </c>
      <c r="M214" t="s">
        <v>77</v>
      </c>
      <c r="N214" t="s">
        <v>78</v>
      </c>
      <c r="O214" t="s">
        <v>74</v>
      </c>
      <c r="P214" t="s">
        <v>74</v>
      </c>
      <c r="Q214" t="s">
        <v>74</v>
      </c>
      <c r="R214" t="s">
        <v>74</v>
      </c>
      <c r="S214" t="s">
        <v>74</v>
      </c>
      <c r="T214" t="s">
        <v>74</v>
      </c>
      <c r="U214" t="s">
        <v>3129</v>
      </c>
      <c r="V214" t="s">
        <v>3130</v>
      </c>
      <c r="W214" t="s">
        <v>3131</v>
      </c>
      <c r="X214" t="s">
        <v>3132</v>
      </c>
      <c r="Y214" t="s">
        <v>3133</v>
      </c>
      <c r="Z214" t="s">
        <v>74</v>
      </c>
      <c r="AA214" t="s">
        <v>74</v>
      </c>
      <c r="AB214" t="s">
        <v>74</v>
      </c>
      <c r="AC214" t="s">
        <v>74</v>
      </c>
      <c r="AD214" t="s">
        <v>74</v>
      </c>
      <c r="AE214" t="s">
        <v>74</v>
      </c>
      <c r="AF214" t="s">
        <v>74</v>
      </c>
      <c r="AG214">
        <v>20</v>
      </c>
      <c r="AH214">
        <v>59</v>
      </c>
      <c r="AI214">
        <v>63</v>
      </c>
      <c r="AJ214">
        <v>1</v>
      </c>
      <c r="AK214">
        <v>12</v>
      </c>
      <c r="AL214" t="s">
        <v>86</v>
      </c>
      <c r="AM214" t="s">
        <v>87</v>
      </c>
      <c r="AN214" t="s">
        <v>88</v>
      </c>
      <c r="AO214" t="s">
        <v>1948</v>
      </c>
      <c r="AP214" t="s">
        <v>74</v>
      </c>
      <c r="AQ214" t="s">
        <v>74</v>
      </c>
      <c r="AR214" t="s">
        <v>1949</v>
      </c>
      <c r="AS214" t="s">
        <v>1950</v>
      </c>
      <c r="AT214" t="s">
        <v>2982</v>
      </c>
      <c r="AU214">
        <v>1999</v>
      </c>
      <c r="AV214">
        <v>80</v>
      </c>
      <c r="AW214">
        <v>9</v>
      </c>
      <c r="AX214" t="s">
        <v>74</v>
      </c>
      <c r="AY214" t="s">
        <v>74</v>
      </c>
      <c r="AZ214" t="s">
        <v>74</v>
      </c>
      <c r="BA214" t="s">
        <v>74</v>
      </c>
      <c r="BB214">
        <v>1893</v>
      </c>
      <c r="BC214">
        <v>1899</v>
      </c>
      <c r="BD214" t="s">
        <v>74</v>
      </c>
      <c r="BE214" t="s">
        <v>3134</v>
      </c>
      <c r="BF214" t="str">
        <f>HYPERLINK("http://dx.doi.org/10.1175/1520-0477(1999)080&lt;1893:ANATAA&gt;2.0.CO;2","http://dx.doi.org/10.1175/1520-0477(1999)080&lt;1893:ANATAA&gt;2.0.CO;2")</f>
        <v>http://dx.doi.org/10.1175/1520-0477(1999)080&lt;1893:ANATAA&gt;2.0.CO;2</v>
      </c>
      <c r="BG214" t="s">
        <v>74</v>
      </c>
      <c r="BH214" t="s">
        <v>74</v>
      </c>
      <c r="BI214">
        <v>7</v>
      </c>
      <c r="BJ214" t="s">
        <v>95</v>
      </c>
      <c r="BK214" t="s">
        <v>96</v>
      </c>
      <c r="BL214" t="s">
        <v>95</v>
      </c>
      <c r="BM214" t="s">
        <v>3135</v>
      </c>
      <c r="BN214" t="s">
        <v>74</v>
      </c>
      <c r="BO214" t="s">
        <v>74</v>
      </c>
      <c r="BP214" t="s">
        <v>74</v>
      </c>
      <c r="BQ214" t="s">
        <v>74</v>
      </c>
      <c r="BR214" t="s">
        <v>99</v>
      </c>
      <c r="BS214" t="s">
        <v>3136</v>
      </c>
      <c r="BT214" t="str">
        <f>HYPERLINK("https%3A%2F%2Fwww.webofscience.com%2Fwos%2Fwoscc%2Ffull-record%2FWOS:000082383600006","View Full Record in Web of Science")</f>
        <v>View Full Record in Web of Science</v>
      </c>
    </row>
    <row r="215" spans="1:72" x14ac:dyDescent="0.15">
      <c r="A215" t="s">
        <v>72</v>
      </c>
      <c r="B215" t="s">
        <v>3137</v>
      </c>
      <c r="C215" t="s">
        <v>74</v>
      </c>
      <c r="D215" t="s">
        <v>74</v>
      </c>
      <c r="E215" t="s">
        <v>74</v>
      </c>
      <c r="F215" t="s">
        <v>3137</v>
      </c>
      <c r="G215" t="s">
        <v>74</v>
      </c>
      <c r="H215" t="s">
        <v>74</v>
      </c>
      <c r="I215" t="s">
        <v>3138</v>
      </c>
      <c r="J215" t="s">
        <v>715</v>
      </c>
      <c r="K215" t="s">
        <v>74</v>
      </c>
      <c r="L215" t="s">
        <v>74</v>
      </c>
      <c r="M215" t="s">
        <v>77</v>
      </c>
      <c r="N215" t="s">
        <v>78</v>
      </c>
      <c r="O215" t="s">
        <v>74</v>
      </c>
      <c r="P215" t="s">
        <v>74</v>
      </c>
      <c r="Q215" t="s">
        <v>74</v>
      </c>
      <c r="R215" t="s">
        <v>74</v>
      </c>
      <c r="S215" t="s">
        <v>74</v>
      </c>
      <c r="T215" t="s">
        <v>74</v>
      </c>
      <c r="U215" t="s">
        <v>3139</v>
      </c>
      <c r="V215" t="s">
        <v>3140</v>
      </c>
      <c r="W215" t="s">
        <v>3141</v>
      </c>
      <c r="X215" t="s">
        <v>3142</v>
      </c>
      <c r="Y215" t="s">
        <v>3143</v>
      </c>
      <c r="Z215" t="s">
        <v>74</v>
      </c>
      <c r="AA215" t="s">
        <v>3144</v>
      </c>
      <c r="AB215" t="s">
        <v>3145</v>
      </c>
      <c r="AC215" t="s">
        <v>74</v>
      </c>
      <c r="AD215" t="s">
        <v>74</v>
      </c>
      <c r="AE215" t="s">
        <v>74</v>
      </c>
      <c r="AF215" t="s">
        <v>74</v>
      </c>
      <c r="AG215">
        <v>37</v>
      </c>
      <c r="AH215">
        <v>18</v>
      </c>
      <c r="AI215">
        <v>22</v>
      </c>
      <c r="AJ215">
        <v>0</v>
      </c>
      <c r="AK215">
        <v>3</v>
      </c>
      <c r="AL215" t="s">
        <v>721</v>
      </c>
      <c r="AM215" t="s">
        <v>722</v>
      </c>
      <c r="AN215" t="s">
        <v>723</v>
      </c>
      <c r="AO215" t="s">
        <v>724</v>
      </c>
      <c r="AP215" t="s">
        <v>74</v>
      </c>
      <c r="AQ215" t="s">
        <v>74</v>
      </c>
      <c r="AR215" t="s">
        <v>725</v>
      </c>
      <c r="AS215" t="s">
        <v>726</v>
      </c>
      <c r="AT215" t="s">
        <v>2982</v>
      </c>
      <c r="AU215">
        <v>1999</v>
      </c>
      <c r="AV215">
        <v>56</v>
      </c>
      <c r="AW215">
        <v>9</v>
      </c>
      <c r="AX215" t="s">
        <v>74</v>
      </c>
      <c r="AY215" t="s">
        <v>74</v>
      </c>
      <c r="AZ215" t="s">
        <v>74</v>
      </c>
      <c r="BA215" t="s">
        <v>74</v>
      </c>
      <c r="BB215">
        <v>1631</v>
      </c>
      <c r="BC215">
        <v>1638</v>
      </c>
      <c r="BD215" t="s">
        <v>74</v>
      </c>
      <c r="BE215" t="s">
        <v>3146</v>
      </c>
      <c r="BF215" t="str">
        <f>HYPERLINK("http://dx.doi.org/10.1139/cjfas-56-9-1631","http://dx.doi.org/10.1139/cjfas-56-9-1631")</f>
        <v>http://dx.doi.org/10.1139/cjfas-56-9-1631</v>
      </c>
      <c r="BG215" t="s">
        <v>74</v>
      </c>
      <c r="BH215" t="s">
        <v>74</v>
      </c>
      <c r="BI215">
        <v>8</v>
      </c>
      <c r="BJ215" t="s">
        <v>728</v>
      </c>
      <c r="BK215" t="s">
        <v>96</v>
      </c>
      <c r="BL215" t="s">
        <v>728</v>
      </c>
      <c r="BM215" t="s">
        <v>3147</v>
      </c>
      <c r="BN215" t="s">
        <v>74</v>
      </c>
      <c r="BO215" t="s">
        <v>74</v>
      </c>
      <c r="BP215" t="s">
        <v>74</v>
      </c>
      <c r="BQ215" t="s">
        <v>74</v>
      </c>
      <c r="BR215" t="s">
        <v>99</v>
      </c>
      <c r="BS215" t="s">
        <v>3148</v>
      </c>
      <c r="BT215" t="str">
        <f>HYPERLINK("https%3A%2F%2Fwww.webofscience.com%2Fwos%2Fwoscc%2Ffull-record%2FWOS:000082745700013","View Full Record in Web of Science")</f>
        <v>View Full Record in Web of Science</v>
      </c>
    </row>
    <row r="216" spans="1:72" x14ac:dyDescent="0.15">
      <c r="A216" t="s">
        <v>72</v>
      </c>
      <c r="B216" t="s">
        <v>565</v>
      </c>
      <c r="C216" t="s">
        <v>74</v>
      </c>
      <c r="D216" t="s">
        <v>74</v>
      </c>
      <c r="E216" t="s">
        <v>74</v>
      </c>
      <c r="F216" t="s">
        <v>565</v>
      </c>
      <c r="G216" t="s">
        <v>74</v>
      </c>
      <c r="H216" t="s">
        <v>74</v>
      </c>
      <c r="I216" t="s">
        <v>3149</v>
      </c>
      <c r="J216" t="s">
        <v>3150</v>
      </c>
      <c r="K216" t="s">
        <v>74</v>
      </c>
      <c r="L216" t="s">
        <v>74</v>
      </c>
      <c r="M216" t="s">
        <v>77</v>
      </c>
      <c r="N216" t="s">
        <v>78</v>
      </c>
      <c r="O216" t="s">
        <v>74</v>
      </c>
      <c r="P216" t="s">
        <v>74</v>
      </c>
      <c r="Q216" t="s">
        <v>74</v>
      </c>
      <c r="R216" t="s">
        <v>74</v>
      </c>
      <c r="S216" t="s">
        <v>74</v>
      </c>
      <c r="T216" t="s">
        <v>74</v>
      </c>
      <c r="U216" t="s">
        <v>3151</v>
      </c>
      <c r="V216" t="s">
        <v>3152</v>
      </c>
      <c r="W216" t="s">
        <v>570</v>
      </c>
      <c r="X216" t="s">
        <v>3153</v>
      </c>
      <c r="Y216" t="s">
        <v>3154</v>
      </c>
      <c r="Z216" t="s">
        <v>74</v>
      </c>
      <c r="AA216" t="s">
        <v>74</v>
      </c>
      <c r="AB216" t="s">
        <v>573</v>
      </c>
      <c r="AC216" t="s">
        <v>74</v>
      </c>
      <c r="AD216" t="s">
        <v>74</v>
      </c>
      <c r="AE216" t="s">
        <v>74</v>
      </c>
      <c r="AF216" t="s">
        <v>74</v>
      </c>
      <c r="AG216">
        <v>53</v>
      </c>
      <c r="AH216">
        <v>27</v>
      </c>
      <c r="AI216">
        <v>29</v>
      </c>
      <c r="AJ216">
        <v>0</v>
      </c>
      <c r="AK216">
        <v>10</v>
      </c>
      <c r="AL216" t="s">
        <v>553</v>
      </c>
      <c r="AM216" t="s">
        <v>554</v>
      </c>
      <c r="AN216" t="s">
        <v>555</v>
      </c>
      <c r="AO216" t="s">
        <v>3155</v>
      </c>
      <c r="AP216" t="s">
        <v>74</v>
      </c>
      <c r="AQ216" t="s">
        <v>74</v>
      </c>
      <c r="AR216" t="s">
        <v>3156</v>
      </c>
      <c r="AS216" t="s">
        <v>3157</v>
      </c>
      <c r="AT216" t="s">
        <v>2982</v>
      </c>
      <c r="AU216">
        <v>1999</v>
      </c>
      <c r="AV216">
        <v>15</v>
      </c>
      <c r="AW216">
        <v>9</v>
      </c>
      <c r="AX216" t="s">
        <v>74</v>
      </c>
      <c r="AY216" t="s">
        <v>74</v>
      </c>
      <c r="AZ216" t="s">
        <v>74</v>
      </c>
      <c r="BA216" t="s">
        <v>74</v>
      </c>
      <c r="BB216">
        <v>659</v>
      </c>
      <c r="BC216">
        <v>671</v>
      </c>
      <c r="BD216" t="s">
        <v>74</v>
      </c>
      <c r="BE216" t="s">
        <v>3158</v>
      </c>
      <c r="BF216" t="str">
        <f>HYPERLINK("http://dx.doi.org/10.1007/s003820050308","http://dx.doi.org/10.1007/s003820050308")</f>
        <v>http://dx.doi.org/10.1007/s003820050308</v>
      </c>
      <c r="BG216" t="s">
        <v>74</v>
      </c>
      <c r="BH216" t="s">
        <v>74</v>
      </c>
      <c r="BI216">
        <v>13</v>
      </c>
      <c r="BJ216" t="s">
        <v>95</v>
      </c>
      <c r="BK216" t="s">
        <v>96</v>
      </c>
      <c r="BL216" t="s">
        <v>95</v>
      </c>
      <c r="BM216" t="s">
        <v>3159</v>
      </c>
      <c r="BN216" t="s">
        <v>74</v>
      </c>
      <c r="BO216" t="s">
        <v>74</v>
      </c>
      <c r="BP216" t="s">
        <v>74</v>
      </c>
      <c r="BQ216" t="s">
        <v>74</v>
      </c>
      <c r="BR216" t="s">
        <v>99</v>
      </c>
      <c r="BS216" t="s">
        <v>3160</v>
      </c>
      <c r="BT216" t="str">
        <f>HYPERLINK("https%3A%2F%2Fwww.webofscience.com%2Fwos%2Fwoscc%2Ffull-record%2FWOS:000082622100004","View Full Record in Web of Science")</f>
        <v>View Full Record in Web of Science</v>
      </c>
    </row>
    <row r="217" spans="1:72" x14ac:dyDescent="0.15">
      <c r="A217" t="s">
        <v>72</v>
      </c>
      <c r="B217" t="s">
        <v>3161</v>
      </c>
      <c r="C217" t="s">
        <v>74</v>
      </c>
      <c r="D217" t="s">
        <v>74</v>
      </c>
      <c r="E217" t="s">
        <v>74</v>
      </c>
      <c r="F217" t="s">
        <v>3161</v>
      </c>
      <c r="G217" t="s">
        <v>74</v>
      </c>
      <c r="H217" t="s">
        <v>74</v>
      </c>
      <c r="I217" t="s">
        <v>3162</v>
      </c>
      <c r="J217" t="s">
        <v>3163</v>
      </c>
      <c r="K217" t="s">
        <v>74</v>
      </c>
      <c r="L217" t="s">
        <v>74</v>
      </c>
      <c r="M217" t="s">
        <v>3164</v>
      </c>
      <c r="N217" t="s">
        <v>78</v>
      </c>
      <c r="O217" t="s">
        <v>74</v>
      </c>
      <c r="P217" t="s">
        <v>74</v>
      </c>
      <c r="Q217" t="s">
        <v>74</v>
      </c>
      <c r="R217" t="s">
        <v>74</v>
      </c>
      <c r="S217" t="s">
        <v>74</v>
      </c>
      <c r="T217" t="s">
        <v>3165</v>
      </c>
      <c r="U217" t="s">
        <v>3166</v>
      </c>
      <c r="V217" t="s">
        <v>3167</v>
      </c>
      <c r="W217" t="s">
        <v>3168</v>
      </c>
      <c r="X217" t="s">
        <v>3169</v>
      </c>
      <c r="Y217" t="s">
        <v>3170</v>
      </c>
      <c r="Z217" t="s">
        <v>74</v>
      </c>
      <c r="AA217" t="s">
        <v>74</v>
      </c>
      <c r="AB217" t="s">
        <v>74</v>
      </c>
      <c r="AC217" t="s">
        <v>74</v>
      </c>
      <c r="AD217" t="s">
        <v>74</v>
      </c>
      <c r="AE217" t="s">
        <v>74</v>
      </c>
      <c r="AF217" t="s">
        <v>74</v>
      </c>
      <c r="AG217">
        <v>17</v>
      </c>
      <c r="AH217">
        <v>7</v>
      </c>
      <c r="AI217">
        <v>8</v>
      </c>
      <c r="AJ217">
        <v>1</v>
      </c>
      <c r="AK217">
        <v>10</v>
      </c>
      <c r="AL217" t="s">
        <v>2711</v>
      </c>
      <c r="AM217" t="s">
        <v>2712</v>
      </c>
      <c r="AN217" t="s">
        <v>2713</v>
      </c>
      <c r="AO217" t="s">
        <v>3171</v>
      </c>
      <c r="AP217" t="s">
        <v>74</v>
      </c>
      <c r="AQ217" t="s">
        <v>74</v>
      </c>
      <c r="AR217" t="s">
        <v>3172</v>
      </c>
      <c r="AS217" t="s">
        <v>3173</v>
      </c>
      <c r="AT217" t="s">
        <v>2982</v>
      </c>
      <c r="AU217">
        <v>1999</v>
      </c>
      <c r="AV217">
        <v>322</v>
      </c>
      <c r="AW217">
        <v>9</v>
      </c>
      <c r="AX217" t="s">
        <v>74</v>
      </c>
      <c r="AY217" t="s">
        <v>74</v>
      </c>
      <c r="AZ217" t="s">
        <v>74</v>
      </c>
      <c r="BA217" t="s">
        <v>74</v>
      </c>
      <c r="BB217">
        <v>771</v>
      </c>
      <c r="BC217">
        <v>777</v>
      </c>
      <c r="BD217" t="s">
        <v>74</v>
      </c>
      <c r="BE217" t="s">
        <v>3174</v>
      </c>
      <c r="BF217" t="str">
        <f>HYPERLINK("http://dx.doi.org/10.1016/S0764-4469(00)80035-9","http://dx.doi.org/10.1016/S0764-4469(00)80035-9")</f>
        <v>http://dx.doi.org/10.1016/S0764-4469(00)80035-9</v>
      </c>
      <c r="BG217" t="s">
        <v>74</v>
      </c>
      <c r="BH217" t="s">
        <v>74</v>
      </c>
      <c r="BI217">
        <v>7</v>
      </c>
      <c r="BJ217" t="s">
        <v>3175</v>
      </c>
      <c r="BK217" t="s">
        <v>96</v>
      </c>
      <c r="BL217" t="s">
        <v>3176</v>
      </c>
      <c r="BM217" t="s">
        <v>3177</v>
      </c>
      <c r="BN217" t="s">
        <v>74</v>
      </c>
      <c r="BO217" t="s">
        <v>74</v>
      </c>
      <c r="BP217" t="s">
        <v>74</v>
      </c>
      <c r="BQ217" t="s">
        <v>74</v>
      </c>
      <c r="BR217" t="s">
        <v>99</v>
      </c>
      <c r="BS217" t="s">
        <v>3178</v>
      </c>
      <c r="BT217" t="str">
        <f>HYPERLINK("https%3A%2F%2Fwww.webofscience.com%2Fwos%2Fwoscc%2Ffull-record%2FWOS:000083100400006","View Full Record in Web of Science")</f>
        <v>View Full Record in Web of Science</v>
      </c>
    </row>
    <row r="218" spans="1:72" x14ac:dyDescent="0.15">
      <c r="A218" t="s">
        <v>72</v>
      </c>
      <c r="B218" t="s">
        <v>3179</v>
      </c>
      <c r="C218" t="s">
        <v>74</v>
      </c>
      <c r="D218" t="s">
        <v>74</v>
      </c>
      <c r="E218" t="s">
        <v>74</v>
      </c>
      <c r="F218" t="s">
        <v>3179</v>
      </c>
      <c r="G218" t="s">
        <v>74</v>
      </c>
      <c r="H218" t="s">
        <v>74</v>
      </c>
      <c r="I218" t="s">
        <v>3180</v>
      </c>
      <c r="J218" t="s">
        <v>844</v>
      </c>
      <c r="K218" t="s">
        <v>74</v>
      </c>
      <c r="L218" t="s">
        <v>74</v>
      </c>
      <c r="M218" t="s">
        <v>845</v>
      </c>
      <c r="N218" t="s">
        <v>78</v>
      </c>
      <c r="O218" t="s">
        <v>74</v>
      </c>
      <c r="P218" t="s">
        <v>74</v>
      </c>
      <c r="Q218" t="s">
        <v>74</v>
      </c>
      <c r="R218" t="s">
        <v>74</v>
      </c>
      <c r="S218" t="s">
        <v>74</v>
      </c>
      <c r="T218" t="s">
        <v>74</v>
      </c>
      <c r="U218" t="s">
        <v>74</v>
      </c>
      <c r="V218" t="s">
        <v>74</v>
      </c>
      <c r="W218" t="s">
        <v>3181</v>
      </c>
      <c r="X218" t="s">
        <v>3182</v>
      </c>
      <c r="Y218" t="s">
        <v>3183</v>
      </c>
      <c r="Z218" t="s">
        <v>74</v>
      </c>
      <c r="AA218" t="s">
        <v>3184</v>
      </c>
      <c r="AB218" t="s">
        <v>3185</v>
      </c>
      <c r="AC218" t="s">
        <v>74</v>
      </c>
      <c r="AD218" t="s">
        <v>74</v>
      </c>
      <c r="AE218" t="s">
        <v>74</v>
      </c>
      <c r="AF218" t="s">
        <v>74</v>
      </c>
      <c r="AG218">
        <v>11</v>
      </c>
      <c r="AH218">
        <v>1</v>
      </c>
      <c r="AI218">
        <v>1</v>
      </c>
      <c r="AJ218">
        <v>0</v>
      </c>
      <c r="AK218">
        <v>0</v>
      </c>
      <c r="AL218" t="s">
        <v>3186</v>
      </c>
      <c r="AM218" t="s">
        <v>554</v>
      </c>
      <c r="AN218" t="s">
        <v>3187</v>
      </c>
      <c r="AO218" t="s">
        <v>852</v>
      </c>
      <c r="AP218" t="s">
        <v>74</v>
      </c>
      <c r="AQ218" t="s">
        <v>74</v>
      </c>
      <c r="AR218" t="s">
        <v>853</v>
      </c>
      <c r="AS218" t="s">
        <v>854</v>
      </c>
      <c r="AT218" t="s">
        <v>2982</v>
      </c>
      <c r="AU218">
        <v>1999</v>
      </c>
      <c r="AV218">
        <v>368</v>
      </c>
      <c r="AW218">
        <v>2</v>
      </c>
      <c r="AX218" t="s">
        <v>74</v>
      </c>
      <c r="AY218" t="s">
        <v>74</v>
      </c>
      <c r="AZ218" t="s">
        <v>74</v>
      </c>
      <c r="BA218" t="s">
        <v>74</v>
      </c>
      <c r="BB218">
        <v>259</v>
      </c>
      <c r="BC218">
        <v>263</v>
      </c>
      <c r="BD218" t="s">
        <v>74</v>
      </c>
      <c r="BE218" t="s">
        <v>74</v>
      </c>
      <c r="BF218" t="s">
        <v>74</v>
      </c>
      <c r="BG218" t="s">
        <v>74</v>
      </c>
      <c r="BH218" t="s">
        <v>74</v>
      </c>
      <c r="BI218">
        <v>5</v>
      </c>
      <c r="BJ218" t="s">
        <v>303</v>
      </c>
      <c r="BK218" t="s">
        <v>96</v>
      </c>
      <c r="BL218" t="s">
        <v>304</v>
      </c>
      <c r="BM218" t="s">
        <v>3188</v>
      </c>
      <c r="BN218" t="s">
        <v>74</v>
      </c>
      <c r="BO218" t="s">
        <v>74</v>
      </c>
      <c r="BP218" t="s">
        <v>74</v>
      </c>
      <c r="BQ218" t="s">
        <v>74</v>
      </c>
      <c r="BR218" t="s">
        <v>99</v>
      </c>
      <c r="BS218" t="s">
        <v>3189</v>
      </c>
      <c r="BT218" t="str">
        <f>HYPERLINK("https%3A%2F%2Fwww.webofscience.com%2Fwos%2Fwoscc%2Ffull-record%2FWOS:000084421500029","View Full Record in Web of Science")</f>
        <v>View Full Record in Web of Science</v>
      </c>
    </row>
    <row r="219" spans="1:72" x14ac:dyDescent="0.15">
      <c r="A219" t="s">
        <v>72</v>
      </c>
      <c r="B219" t="s">
        <v>3190</v>
      </c>
      <c r="C219" t="s">
        <v>74</v>
      </c>
      <c r="D219" t="s">
        <v>74</v>
      </c>
      <c r="E219" t="s">
        <v>74</v>
      </c>
      <c r="F219" t="s">
        <v>3190</v>
      </c>
      <c r="G219" t="s">
        <v>74</v>
      </c>
      <c r="H219" t="s">
        <v>74</v>
      </c>
      <c r="I219" t="s">
        <v>3191</v>
      </c>
      <c r="J219" t="s">
        <v>3192</v>
      </c>
      <c r="K219" t="s">
        <v>74</v>
      </c>
      <c r="L219" t="s">
        <v>74</v>
      </c>
      <c r="M219" t="s">
        <v>77</v>
      </c>
      <c r="N219" t="s">
        <v>78</v>
      </c>
      <c r="O219" t="s">
        <v>74</v>
      </c>
      <c r="P219" t="s">
        <v>74</v>
      </c>
      <c r="Q219" t="s">
        <v>74</v>
      </c>
      <c r="R219" t="s">
        <v>74</v>
      </c>
      <c r="S219" t="s">
        <v>74</v>
      </c>
      <c r="T219" t="s">
        <v>74</v>
      </c>
      <c r="U219" t="s">
        <v>3193</v>
      </c>
      <c r="V219" t="s">
        <v>3194</v>
      </c>
      <c r="W219" t="s">
        <v>3195</v>
      </c>
      <c r="X219" t="s">
        <v>3196</v>
      </c>
      <c r="Y219" t="s">
        <v>3197</v>
      </c>
      <c r="Z219" t="s">
        <v>74</v>
      </c>
      <c r="AA219" t="s">
        <v>74</v>
      </c>
      <c r="AB219" t="s">
        <v>74</v>
      </c>
      <c r="AC219" t="s">
        <v>74</v>
      </c>
      <c r="AD219" t="s">
        <v>74</v>
      </c>
      <c r="AE219" t="s">
        <v>74</v>
      </c>
      <c r="AF219" t="s">
        <v>74</v>
      </c>
      <c r="AG219">
        <v>52</v>
      </c>
      <c r="AH219">
        <v>3</v>
      </c>
      <c r="AI219">
        <v>6</v>
      </c>
      <c r="AJ219">
        <v>0</v>
      </c>
      <c r="AK219">
        <v>9</v>
      </c>
      <c r="AL219" t="s">
        <v>3198</v>
      </c>
      <c r="AM219" t="s">
        <v>3199</v>
      </c>
      <c r="AN219" t="s">
        <v>3200</v>
      </c>
      <c r="AO219" t="s">
        <v>3201</v>
      </c>
      <c r="AP219" t="s">
        <v>74</v>
      </c>
      <c r="AQ219" t="s">
        <v>74</v>
      </c>
      <c r="AR219" t="s">
        <v>3192</v>
      </c>
      <c r="AS219" t="s">
        <v>3202</v>
      </c>
      <c r="AT219" t="s">
        <v>2982</v>
      </c>
      <c r="AU219">
        <v>1999</v>
      </c>
      <c r="AV219">
        <v>99</v>
      </c>
      <c r="AW219" t="s">
        <v>74</v>
      </c>
      <c r="AX219">
        <v>3</v>
      </c>
      <c r="AY219" t="s">
        <v>74</v>
      </c>
      <c r="AZ219" t="s">
        <v>74</v>
      </c>
      <c r="BA219" t="s">
        <v>74</v>
      </c>
      <c r="BB219">
        <v>176</v>
      </c>
      <c r="BC219">
        <v>190</v>
      </c>
      <c r="BD219" t="s">
        <v>74</v>
      </c>
      <c r="BE219" t="s">
        <v>3203</v>
      </c>
      <c r="BF219" t="str">
        <f>HYPERLINK("http://dx.doi.org/10.1071/MU99021","http://dx.doi.org/10.1071/MU99021")</f>
        <v>http://dx.doi.org/10.1071/MU99021</v>
      </c>
      <c r="BG219" t="s">
        <v>74</v>
      </c>
      <c r="BH219" t="s">
        <v>74</v>
      </c>
      <c r="BI219">
        <v>15</v>
      </c>
      <c r="BJ219" t="s">
        <v>2212</v>
      </c>
      <c r="BK219" t="s">
        <v>96</v>
      </c>
      <c r="BL219" t="s">
        <v>142</v>
      </c>
      <c r="BM219" t="s">
        <v>3204</v>
      </c>
      <c r="BN219" t="s">
        <v>74</v>
      </c>
      <c r="BO219" t="s">
        <v>74</v>
      </c>
      <c r="BP219" t="s">
        <v>74</v>
      </c>
      <c r="BQ219" t="s">
        <v>74</v>
      </c>
      <c r="BR219" t="s">
        <v>99</v>
      </c>
      <c r="BS219" t="s">
        <v>3205</v>
      </c>
      <c r="BT219" t="str">
        <f>HYPERLINK("https%3A%2F%2Fwww.webofscience.com%2Fwos%2Fwoscc%2Ffull-record%2FWOS:000082362600003","View Full Record in Web of Science")</f>
        <v>View Full Record in Web of Science</v>
      </c>
    </row>
    <row r="220" spans="1:72" x14ac:dyDescent="0.15">
      <c r="A220" t="s">
        <v>72</v>
      </c>
      <c r="B220" t="s">
        <v>3206</v>
      </c>
      <c r="C220" t="s">
        <v>74</v>
      </c>
      <c r="D220" t="s">
        <v>74</v>
      </c>
      <c r="E220" t="s">
        <v>74</v>
      </c>
      <c r="F220" t="s">
        <v>3206</v>
      </c>
      <c r="G220" t="s">
        <v>74</v>
      </c>
      <c r="H220" t="s">
        <v>74</v>
      </c>
      <c r="I220" t="s">
        <v>3207</v>
      </c>
      <c r="J220" t="s">
        <v>3192</v>
      </c>
      <c r="K220" t="s">
        <v>74</v>
      </c>
      <c r="L220" t="s">
        <v>74</v>
      </c>
      <c r="M220" t="s">
        <v>77</v>
      </c>
      <c r="N220" t="s">
        <v>78</v>
      </c>
      <c r="O220" t="s">
        <v>74</v>
      </c>
      <c r="P220" t="s">
        <v>74</v>
      </c>
      <c r="Q220" t="s">
        <v>74</v>
      </c>
      <c r="R220" t="s">
        <v>74</v>
      </c>
      <c r="S220" t="s">
        <v>74</v>
      </c>
      <c r="T220" t="s">
        <v>74</v>
      </c>
      <c r="U220" t="s">
        <v>3208</v>
      </c>
      <c r="V220" t="s">
        <v>3209</v>
      </c>
      <c r="W220" t="s">
        <v>3210</v>
      </c>
      <c r="X220" t="s">
        <v>74</v>
      </c>
      <c r="Y220" t="s">
        <v>3211</v>
      </c>
      <c r="Z220" t="s">
        <v>74</v>
      </c>
      <c r="AA220" t="s">
        <v>74</v>
      </c>
      <c r="AB220" t="s">
        <v>74</v>
      </c>
      <c r="AC220" t="s">
        <v>74</v>
      </c>
      <c r="AD220" t="s">
        <v>74</v>
      </c>
      <c r="AE220" t="s">
        <v>74</v>
      </c>
      <c r="AF220" t="s">
        <v>74</v>
      </c>
      <c r="AG220">
        <v>59</v>
      </c>
      <c r="AH220">
        <v>28</v>
      </c>
      <c r="AI220">
        <v>32</v>
      </c>
      <c r="AJ220">
        <v>2</v>
      </c>
      <c r="AK220">
        <v>24</v>
      </c>
      <c r="AL220" t="s">
        <v>3212</v>
      </c>
      <c r="AM220" t="s">
        <v>3213</v>
      </c>
      <c r="AN220" t="s">
        <v>3214</v>
      </c>
      <c r="AO220" t="s">
        <v>3201</v>
      </c>
      <c r="AP220" t="s">
        <v>3215</v>
      </c>
      <c r="AQ220" t="s">
        <v>74</v>
      </c>
      <c r="AR220" t="s">
        <v>3192</v>
      </c>
      <c r="AS220" t="s">
        <v>3202</v>
      </c>
      <c r="AT220" t="s">
        <v>2982</v>
      </c>
      <c r="AU220">
        <v>1999</v>
      </c>
      <c r="AV220">
        <v>99</v>
      </c>
      <c r="AW220" t="s">
        <v>74</v>
      </c>
      <c r="AX220">
        <v>3</v>
      </c>
      <c r="AY220" t="s">
        <v>74</v>
      </c>
      <c r="AZ220" t="s">
        <v>74</v>
      </c>
      <c r="BA220" t="s">
        <v>74</v>
      </c>
      <c r="BB220">
        <v>200</v>
      </c>
      <c r="BC220">
        <v>211</v>
      </c>
      <c r="BD220" t="s">
        <v>74</v>
      </c>
      <c r="BE220" t="s">
        <v>3216</v>
      </c>
      <c r="BF220" t="str">
        <f>HYPERLINK("http://dx.doi.org/10.1071/MU99023","http://dx.doi.org/10.1071/MU99023")</f>
        <v>http://dx.doi.org/10.1071/MU99023</v>
      </c>
      <c r="BG220" t="s">
        <v>74</v>
      </c>
      <c r="BH220" t="s">
        <v>74</v>
      </c>
      <c r="BI220">
        <v>12</v>
      </c>
      <c r="BJ220" t="s">
        <v>2212</v>
      </c>
      <c r="BK220" t="s">
        <v>96</v>
      </c>
      <c r="BL220" t="s">
        <v>142</v>
      </c>
      <c r="BM220" t="s">
        <v>3204</v>
      </c>
      <c r="BN220" t="s">
        <v>74</v>
      </c>
      <c r="BO220" t="s">
        <v>74</v>
      </c>
      <c r="BP220" t="s">
        <v>74</v>
      </c>
      <c r="BQ220" t="s">
        <v>74</v>
      </c>
      <c r="BR220" t="s">
        <v>99</v>
      </c>
      <c r="BS220" t="s">
        <v>3217</v>
      </c>
      <c r="BT220" t="str">
        <f>HYPERLINK("https%3A%2F%2Fwww.webofscience.com%2Fwos%2Fwoscc%2Ffull-record%2FWOS:000082362600005","View Full Record in Web of Science")</f>
        <v>View Full Record in Web of Science</v>
      </c>
    </row>
    <row r="221" spans="1:72" x14ac:dyDescent="0.15">
      <c r="A221" t="s">
        <v>72</v>
      </c>
      <c r="B221" t="s">
        <v>3218</v>
      </c>
      <c r="C221" t="s">
        <v>74</v>
      </c>
      <c r="D221" t="s">
        <v>74</v>
      </c>
      <c r="E221" t="s">
        <v>74</v>
      </c>
      <c r="F221" t="s">
        <v>3218</v>
      </c>
      <c r="G221" t="s">
        <v>74</v>
      </c>
      <c r="H221" t="s">
        <v>74</v>
      </c>
      <c r="I221" t="s">
        <v>3219</v>
      </c>
      <c r="J221" t="s">
        <v>3220</v>
      </c>
      <c r="K221" t="s">
        <v>74</v>
      </c>
      <c r="L221" t="s">
        <v>74</v>
      </c>
      <c r="M221" t="s">
        <v>77</v>
      </c>
      <c r="N221" t="s">
        <v>254</v>
      </c>
      <c r="O221" t="s">
        <v>74</v>
      </c>
      <c r="P221" t="s">
        <v>74</v>
      </c>
      <c r="Q221" t="s">
        <v>74</v>
      </c>
      <c r="R221" t="s">
        <v>74</v>
      </c>
      <c r="S221" t="s">
        <v>74</v>
      </c>
      <c r="T221" t="s">
        <v>3221</v>
      </c>
      <c r="U221" t="s">
        <v>3222</v>
      </c>
      <c r="V221" t="s">
        <v>3223</v>
      </c>
      <c r="W221" t="s">
        <v>3224</v>
      </c>
      <c r="X221" t="s">
        <v>3225</v>
      </c>
      <c r="Y221" t="s">
        <v>3226</v>
      </c>
      <c r="Z221" t="s">
        <v>74</v>
      </c>
      <c r="AA221" t="s">
        <v>3227</v>
      </c>
      <c r="AB221" t="s">
        <v>3228</v>
      </c>
      <c r="AC221" t="s">
        <v>74</v>
      </c>
      <c r="AD221" t="s">
        <v>74</v>
      </c>
      <c r="AE221" t="s">
        <v>74</v>
      </c>
      <c r="AF221" t="s">
        <v>74</v>
      </c>
      <c r="AG221">
        <v>81</v>
      </c>
      <c r="AH221">
        <v>152</v>
      </c>
      <c r="AI221">
        <v>173</v>
      </c>
      <c r="AJ221">
        <v>0</v>
      </c>
      <c r="AK221">
        <v>69</v>
      </c>
      <c r="AL221" t="s">
        <v>863</v>
      </c>
      <c r="AM221" t="s">
        <v>276</v>
      </c>
      <c r="AN221" t="s">
        <v>864</v>
      </c>
      <c r="AO221" t="s">
        <v>3229</v>
      </c>
      <c r="AP221" t="s">
        <v>74</v>
      </c>
      <c r="AQ221" t="s">
        <v>74</v>
      </c>
      <c r="AR221" t="s">
        <v>3230</v>
      </c>
      <c r="AS221" t="s">
        <v>3231</v>
      </c>
      <c r="AT221" t="s">
        <v>2982</v>
      </c>
      <c r="AU221">
        <v>1999</v>
      </c>
      <c r="AV221">
        <v>264</v>
      </c>
      <c r="AW221">
        <v>3</v>
      </c>
      <c r="AX221" t="s">
        <v>74</v>
      </c>
      <c r="AY221" t="s">
        <v>74</v>
      </c>
      <c r="AZ221" t="s">
        <v>74</v>
      </c>
      <c r="BA221" t="s">
        <v>74</v>
      </c>
      <c r="BB221">
        <v>653</v>
      </c>
      <c r="BC221">
        <v>665</v>
      </c>
      <c r="BD221" t="s">
        <v>74</v>
      </c>
      <c r="BE221" t="s">
        <v>3232</v>
      </c>
      <c r="BF221" t="str">
        <f>HYPERLINK("http://dx.doi.org/10.1046/j.1432-1327.1999.00617.x","http://dx.doi.org/10.1046/j.1432-1327.1999.00617.x")</f>
        <v>http://dx.doi.org/10.1046/j.1432-1327.1999.00617.x</v>
      </c>
      <c r="BG221" t="s">
        <v>74</v>
      </c>
      <c r="BH221" t="s">
        <v>74</v>
      </c>
      <c r="BI221">
        <v>13</v>
      </c>
      <c r="BJ221" t="s">
        <v>3233</v>
      </c>
      <c r="BK221" t="s">
        <v>96</v>
      </c>
      <c r="BL221" t="s">
        <v>3233</v>
      </c>
      <c r="BM221" t="s">
        <v>3234</v>
      </c>
      <c r="BN221">
        <v>10491111</v>
      </c>
      <c r="BO221" t="s">
        <v>250</v>
      </c>
      <c r="BP221" t="s">
        <v>74</v>
      </c>
      <c r="BQ221" t="s">
        <v>74</v>
      </c>
      <c r="BR221" t="s">
        <v>99</v>
      </c>
      <c r="BS221" t="s">
        <v>3235</v>
      </c>
      <c r="BT221" t="str">
        <f>HYPERLINK("https%3A%2F%2Fwww.webofscience.com%2Fwos%2Fwoscc%2Ffull-record%2FWOS:000082701700001","View Full Record in Web of Science")</f>
        <v>View Full Record in Web of Science</v>
      </c>
    </row>
    <row r="222" spans="1:72" x14ac:dyDescent="0.15">
      <c r="A222" t="s">
        <v>72</v>
      </c>
      <c r="B222" t="s">
        <v>3236</v>
      </c>
      <c r="C222" t="s">
        <v>74</v>
      </c>
      <c r="D222" t="s">
        <v>74</v>
      </c>
      <c r="E222" t="s">
        <v>74</v>
      </c>
      <c r="F222" t="s">
        <v>3236</v>
      </c>
      <c r="G222" t="s">
        <v>74</v>
      </c>
      <c r="H222" t="s">
        <v>74</v>
      </c>
      <c r="I222" t="s">
        <v>3237</v>
      </c>
      <c r="J222" t="s">
        <v>3238</v>
      </c>
      <c r="K222" t="s">
        <v>74</v>
      </c>
      <c r="L222" t="s">
        <v>74</v>
      </c>
      <c r="M222" t="s">
        <v>77</v>
      </c>
      <c r="N222" t="s">
        <v>78</v>
      </c>
      <c r="O222" t="s">
        <v>74</v>
      </c>
      <c r="P222" t="s">
        <v>74</v>
      </c>
      <c r="Q222" t="s">
        <v>74</v>
      </c>
      <c r="R222" t="s">
        <v>74</v>
      </c>
      <c r="S222" t="s">
        <v>74</v>
      </c>
      <c r="T222" t="s">
        <v>3239</v>
      </c>
      <c r="U222" t="s">
        <v>3240</v>
      </c>
      <c r="V222" t="s">
        <v>3241</v>
      </c>
      <c r="W222" t="s">
        <v>3242</v>
      </c>
      <c r="X222" t="s">
        <v>3243</v>
      </c>
      <c r="Y222" t="s">
        <v>3244</v>
      </c>
      <c r="Z222" t="s">
        <v>3245</v>
      </c>
      <c r="AA222" t="s">
        <v>3246</v>
      </c>
      <c r="AB222" t="s">
        <v>3247</v>
      </c>
      <c r="AC222" t="s">
        <v>74</v>
      </c>
      <c r="AD222" t="s">
        <v>74</v>
      </c>
      <c r="AE222" t="s">
        <v>74</v>
      </c>
      <c r="AF222" t="s">
        <v>74</v>
      </c>
      <c r="AG222">
        <v>51</v>
      </c>
      <c r="AH222">
        <v>64</v>
      </c>
      <c r="AI222">
        <v>68</v>
      </c>
      <c r="AJ222">
        <v>2</v>
      </c>
      <c r="AK222">
        <v>13</v>
      </c>
      <c r="AL222" t="s">
        <v>997</v>
      </c>
      <c r="AM222" t="s">
        <v>998</v>
      </c>
      <c r="AN222" t="s">
        <v>999</v>
      </c>
      <c r="AO222" t="s">
        <v>3248</v>
      </c>
      <c r="AP222" t="s">
        <v>3249</v>
      </c>
      <c r="AQ222" t="s">
        <v>74</v>
      </c>
      <c r="AR222" t="s">
        <v>3250</v>
      </c>
      <c r="AS222" t="s">
        <v>3251</v>
      </c>
      <c r="AT222" t="s">
        <v>2982</v>
      </c>
      <c r="AU222">
        <v>1999</v>
      </c>
      <c r="AV222">
        <v>42</v>
      </c>
      <c r="AW222">
        <v>2</v>
      </c>
      <c r="AX222" t="s">
        <v>74</v>
      </c>
      <c r="AY222" t="s">
        <v>74</v>
      </c>
      <c r="AZ222" t="s">
        <v>74</v>
      </c>
      <c r="BA222" t="s">
        <v>74</v>
      </c>
      <c r="BB222">
        <v>215</v>
      </c>
      <c r="BC222">
        <v>224</v>
      </c>
      <c r="BD222" t="s">
        <v>74</v>
      </c>
      <c r="BE222" t="s">
        <v>3252</v>
      </c>
      <c r="BF222" t="str">
        <f>HYPERLINK("http://dx.doi.org/10.1046/j.1365-2427.1999.444453.x","http://dx.doi.org/10.1046/j.1365-2427.1999.444453.x")</f>
        <v>http://dx.doi.org/10.1046/j.1365-2427.1999.444453.x</v>
      </c>
      <c r="BG222" t="s">
        <v>74</v>
      </c>
      <c r="BH222" t="s">
        <v>74</v>
      </c>
      <c r="BI222">
        <v>10</v>
      </c>
      <c r="BJ222" t="s">
        <v>1703</v>
      </c>
      <c r="BK222" t="s">
        <v>96</v>
      </c>
      <c r="BL222" t="s">
        <v>1704</v>
      </c>
      <c r="BM222" t="s">
        <v>3253</v>
      </c>
      <c r="BN222" t="s">
        <v>74</v>
      </c>
      <c r="BO222" t="s">
        <v>74</v>
      </c>
      <c r="BP222" t="s">
        <v>74</v>
      </c>
      <c r="BQ222" t="s">
        <v>74</v>
      </c>
      <c r="BR222" t="s">
        <v>99</v>
      </c>
      <c r="BS222" t="s">
        <v>3254</v>
      </c>
      <c r="BT222" t="str">
        <f>HYPERLINK("https%3A%2F%2Fwww.webofscience.com%2Fwos%2Fwoscc%2Ffull-record%2FWOS:000082837600002","View Full Record in Web of Science")</f>
        <v>View Full Record in Web of Science</v>
      </c>
    </row>
    <row r="223" spans="1:72" x14ac:dyDescent="0.15">
      <c r="A223" t="s">
        <v>72</v>
      </c>
      <c r="B223" t="s">
        <v>3255</v>
      </c>
      <c r="C223" t="s">
        <v>74</v>
      </c>
      <c r="D223" t="s">
        <v>74</v>
      </c>
      <c r="E223" t="s">
        <v>74</v>
      </c>
      <c r="F223" t="s">
        <v>3255</v>
      </c>
      <c r="G223" t="s">
        <v>74</v>
      </c>
      <c r="H223" t="s">
        <v>74</v>
      </c>
      <c r="I223" t="s">
        <v>3256</v>
      </c>
      <c r="J223" t="s">
        <v>3257</v>
      </c>
      <c r="K223" t="s">
        <v>74</v>
      </c>
      <c r="L223" t="s">
        <v>74</v>
      </c>
      <c r="M223" t="s">
        <v>77</v>
      </c>
      <c r="N223" t="s">
        <v>78</v>
      </c>
      <c r="O223" t="s">
        <v>74</v>
      </c>
      <c r="P223" t="s">
        <v>74</v>
      </c>
      <c r="Q223" t="s">
        <v>74</v>
      </c>
      <c r="R223" t="s">
        <v>74</v>
      </c>
      <c r="S223" t="s">
        <v>74</v>
      </c>
      <c r="T223" t="s">
        <v>74</v>
      </c>
      <c r="U223" t="s">
        <v>3258</v>
      </c>
      <c r="V223" t="s">
        <v>3259</v>
      </c>
      <c r="W223" t="s">
        <v>3260</v>
      </c>
      <c r="X223" t="s">
        <v>3261</v>
      </c>
      <c r="Y223" t="s">
        <v>3262</v>
      </c>
      <c r="Z223" t="s">
        <v>3263</v>
      </c>
      <c r="AA223" t="s">
        <v>3264</v>
      </c>
      <c r="AB223" t="s">
        <v>3265</v>
      </c>
      <c r="AC223" t="s">
        <v>74</v>
      </c>
      <c r="AD223" t="s">
        <v>74</v>
      </c>
      <c r="AE223" t="s">
        <v>74</v>
      </c>
      <c r="AF223" t="s">
        <v>74</v>
      </c>
      <c r="AG223">
        <v>90</v>
      </c>
      <c r="AH223">
        <v>57</v>
      </c>
      <c r="AI223">
        <v>58</v>
      </c>
      <c r="AJ223">
        <v>1</v>
      </c>
      <c r="AK223">
        <v>6</v>
      </c>
      <c r="AL223" t="s">
        <v>275</v>
      </c>
      <c r="AM223" t="s">
        <v>276</v>
      </c>
      <c r="AN223" t="s">
        <v>277</v>
      </c>
      <c r="AO223" t="s">
        <v>3266</v>
      </c>
      <c r="AP223" t="s">
        <v>3267</v>
      </c>
      <c r="AQ223" t="s">
        <v>74</v>
      </c>
      <c r="AR223" t="s">
        <v>3268</v>
      </c>
      <c r="AS223" t="s">
        <v>3269</v>
      </c>
      <c r="AT223" t="s">
        <v>2982</v>
      </c>
      <c r="AU223">
        <v>1999</v>
      </c>
      <c r="AV223">
        <v>63</v>
      </c>
      <c r="AW223">
        <v>17</v>
      </c>
      <c r="AX223" t="s">
        <v>74</v>
      </c>
      <c r="AY223" t="s">
        <v>74</v>
      </c>
      <c r="AZ223" t="s">
        <v>74</v>
      </c>
      <c r="BA223" t="s">
        <v>74</v>
      </c>
      <c r="BB223">
        <v>2623</v>
      </c>
      <c r="BC223">
        <v>2636</v>
      </c>
      <c r="BD223" t="s">
        <v>74</v>
      </c>
      <c r="BE223" t="s">
        <v>3270</v>
      </c>
      <c r="BF223" t="str">
        <f>HYPERLINK("http://dx.doi.org/10.1016/S0016-7037(99)00160-X","http://dx.doi.org/10.1016/S0016-7037(99)00160-X")</f>
        <v>http://dx.doi.org/10.1016/S0016-7037(99)00160-X</v>
      </c>
      <c r="BG223" t="s">
        <v>74</v>
      </c>
      <c r="BH223" t="s">
        <v>74</v>
      </c>
      <c r="BI223">
        <v>14</v>
      </c>
      <c r="BJ223" t="s">
        <v>216</v>
      </c>
      <c r="BK223" t="s">
        <v>96</v>
      </c>
      <c r="BL223" t="s">
        <v>216</v>
      </c>
      <c r="BM223" t="s">
        <v>3271</v>
      </c>
      <c r="BN223" t="s">
        <v>74</v>
      </c>
      <c r="BO223" t="s">
        <v>74</v>
      </c>
      <c r="BP223" t="s">
        <v>74</v>
      </c>
      <c r="BQ223" t="s">
        <v>74</v>
      </c>
      <c r="BR223" t="s">
        <v>99</v>
      </c>
      <c r="BS223" t="s">
        <v>3272</v>
      </c>
      <c r="BT223" t="str">
        <f>HYPERLINK("https%3A%2F%2Fwww.webofscience.com%2Fwos%2Fwoscc%2Ffull-record%2FWOS:000082948100010","View Full Record in Web of Science")</f>
        <v>View Full Record in Web of Science</v>
      </c>
    </row>
    <row r="224" spans="1:72" x14ac:dyDescent="0.15">
      <c r="A224" t="s">
        <v>72</v>
      </c>
      <c r="B224" t="s">
        <v>3273</v>
      </c>
      <c r="C224" t="s">
        <v>74</v>
      </c>
      <c r="D224" t="s">
        <v>74</v>
      </c>
      <c r="E224" t="s">
        <v>74</v>
      </c>
      <c r="F224" t="s">
        <v>3273</v>
      </c>
      <c r="G224" t="s">
        <v>74</v>
      </c>
      <c r="H224" t="s">
        <v>74</v>
      </c>
      <c r="I224" t="s">
        <v>3274</v>
      </c>
      <c r="J224" t="s">
        <v>3257</v>
      </c>
      <c r="K224" t="s">
        <v>74</v>
      </c>
      <c r="L224" t="s">
        <v>74</v>
      </c>
      <c r="M224" t="s">
        <v>77</v>
      </c>
      <c r="N224" t="s">
        <v>78</v>
      </c>
      <c r="O224" t="s">
        <v>74</v>
      </c>
      <c r="P224" t="s">
        <v>74</v>
      </c>
      <c r="Q224" t="s">
        <v>74</v>
      </c>
      <c r="R224" t="s">
        <v>74</v>
      </c>
      <c r="S224" t="s">
        <v>74</v>
      </c>
      <c r="T224" t="s">
        <v>74</v>
      </c>
      <c r="U224" t="s">
        <v>3275</v>
      </c>
      <c r="V224" t="s">
        <v>3276</v>
      </c>
      <c r="W224" t="s">
        <v>3277</v>
      </c>
      <c r="X224" t="s">
        <v>3278</v>
      </c>
      <c r="Y224" t="s">
        <v>3279</v>
      </c>
      <c r="Z224" t="s">
        <v>74</v>
      </c>
      <c r="AA224" t="s">
        <v>3280</v>
      </c>
      <c r="AB224" t="s">
        <v>74</v>
      </c>
      <c r="AC224" t="s">
        <v>74</v>
      </c>
      <c r="AD224" t="s">
        <v>74</v>
      </c>
      <c r="AE224" t="s">
        <v>74</v>
      </c>
      <c r="AF224" t="s">
        <v>74</v>
      </c>
      <c r="AG224">
        <v>66</v>
      </c>
      <c r="AH224">
        <v>31</v>
      </c>
      <c r="AI224">
        <v>33</v>
      </c>
      <c r="AJ224">
        <v>0</v>
      </c>
      <c r="AK224">
        <v>5</v>
      </c>
      <c r="AL224" t="s">
        <v>275</v>
      </c>
      <c r="AM224" t="s">
        <v>276</v>
      </c>
      <c r="AN224" t="s">
        <v>277</v>
      </c>
      <c r="AO224" t="s">
        <v>3266</v>
      </c>
      <c r="AP224" t="s">
        <v>3267</v>
      </c>
      <c r="AQ224" t="s">
        <v>74</v>
      </c>
      <c r="AR224" t="s">
        <v>3268</v>
      </c>
      <c r="AS224" t="s">
        <v>3269</v>
      </c>
      <c r="AT224" t="s">
        <v>2982</v>
      </c>
      <c r="AU224">
        <v>1999</v>
      </c>
      <c r="AV224">
        <v>63</v>
      </c>
      <c r="AW224">
        <v>17</v>
      </c>
      <c r="AX224" t="s">
        <v>74</v>
      </c>
      <c r="AY224" t="s">
        <v>74</v>
      </c>
      <c r="AZ224" t="s">
        <v>74</v>
      </c>
      <c r="BA224" t="s">
        <v>74</v>
      </c>
      <c r="BB224">
        <v>2653</v>
      </c>
      <c r="BC224">
        <v>2665</v>
      </c>
      <c r="BD224" t="s">
        <v>74</v>
      </c>
      <c r="BE224" t="s">
        <v>3281</v>
      </c>
      <c r="BF224" t="str">
        <f>HYPERLINK("http://dx.doi.org/10.1016/S0016-7037(99)00161-1","http://dx.doi.org/10.1016/S0016-7037(99)00161-1")</f>
        <v>http://dx.doi.org/10.1016/S0016-7037(99)00161-1</v>
      </c>
      <c r="BG224" t="s">
        <v>74</v>
      </c>
      <c r="BH224" t="s">
        <v>74</v>
      </c>
      <c r="BI224">
        <v>13</v>
      </c>
      <c r="BJ224" t="s">
        <v>216</v>
      </c>
      <c r="BK224" t="s">
        <v>96</v>
      </c>
      <c r="BL224" t="s">
        <v>216</v>
      </c>
      <c r="BM224" t="s">
        <v>3271</v>
      </c>
      <c r="BN224" t="s">
        <v>74</v>
      </c>
      <c r="BO224" t="s">
        <v>74</v>
      </c>
      <c r="BP224" t="s">
        <v>74</v>
      </c>
      <c r="BQ224" t="s">
        <v>74</v>
      </c>
      <c r="BR224" t="s">
        <v>99</v>
      </c>
      <c r="BS224" t="s">
        <v>3282</v>
      </c>
      <c r="BT224" t="str">
        <f>HYPERLINK("https%3A%2F%2Fwww.webofscience.com%2Fwos%2Fwoscc%2Ffull-record%2FWOS:000082948100012","View Full Record in Web of Science")</f>
        <v>View Full Record in Web of Science</v>
      </c>
    </row>
    <row r="225" spans="1:72" x14ac:dyDescent="0.15">
      <c r="A225" t="s">
        <v>72</v>
      </c>
      <c r="B225" t="s">
        <v>3283</v>
      </c>
      <c r="C225" t="s">
        <v>74</v>
      </c>
      <c r="D225" t="s">
        <v>74</v>
      </c>
      <c r="E225" t="s">
        <v>74</v>
      </c>
      <c r="F225" t="s">
        <v>3283</v>
      </c>
      <c r="G225" t="s">
        <v>74</v>
      </c>
      <c r="H225" t="s">
        <v>74</v>
      </c>
      <c r="I225" t="s">
        <v>3284</v>
      </c>
      <c r="J225" t="s">
        <v>3285</v>
      </c>
      <c r="K225" t="s">
        <v>74</v>
      </c>
      <c r="L225" t="s">
        <v>74</v>
      </c>
      <c r="M225" t="s">
        <v>845</v>
      </c>
      <c r="N225" t="s">
        <v>78</v>
      </c>
      <c r="O225" t="s">
        <v>74</v>
      </c>
      <c r="P225" t="s">
        <v>74</v>
      </c>
      <c r="Q225" t="s">
        <v>74</v>
      </c>
      <c r="R225" t="s">
        <v>74</v>
      </c>
      <c r="S225" t="s">
        <v>74</v>
      </c>
      <c r="T225" t="s">
        <v>74</v>
      </c>
      <c r="U225" t="s">
        <v>74</v>
      </c>
      <c r="V225" t="s">
        <v>74</v>
      </c>
      <c r="W225" t="s">
        <v>846</v>
      </c>
      <c r="X225" t="s">
        <v>847</v>
      </c>
      <c r="Y225" t="s">
        <v>3286</v>
      </c>
      <c r="Z225" t="s">
        <v>74</v>
      </c>
      <c r="AA225" t="s">
        <v>74</v>
      </c>
      <c r="AB225" t="s">
        <v>74</v>
      </c>
      <c r="AC225" t="s">
        <v>74</v>
      </c>
      <c r="AD225" t="s">
        <v>74</v>
      </c>
      <c r="AE225" t="s">
        <v>74</v>
      </c>
      <c r="AF225" t="s">
        <v>74</v>
      </c>
      <c r="AG225">
        <v>6</v>
      </c>
      <c r="AH225">
        <v>0</v>
      </c>
      <c r="AI225">
        <v>0</v>
      </c>
      <c r="AJ225">
        <v>0</v>
      </c>
      <c r="AK225">
        <v>0</v>
      </c>
      <c r="AL225" t="s">
        <v>849</v>
      </c>
      <c r="AM225" t="s">
        <v>850</v>
      </c>
      <c r="AN225" t="s">
        <v>851</v>
      </c>
      <c r="AO225" t="s">
        <v>3287</v>
      </c>
      <c r="AP225" t="s">
        <v>74</v>
      </c>
      <c r="AQ225" t="s">
        <v>74</v>
      </c>
      <c r="AR225" t="s">
        <v>3288</v>
      </c>
      <c r="AS225" t="s">
        <v>3289</v>
      </c>
      <c r="AT225" t="s">
        <v>3290</v>
      </c>
      <c r="AU225">
        <v>1999</v>
      </c>
      <c r="AV225">
        <v>39</v>
      </c>
      <c r="AW225">
        <v>5</v>
      </c>
      <c r="AX225" t="s">
        <v>74</v>
      </c>
      <c r="AY225" t="s">
        <v>74</v>
      </c>
      <c r="AZ225" t="s">
        <v>74</v>
      </c>
      <c r="BA225" t="s">
        <v>74</v>
      </c>
      <c r="BB225">
        <v>112</v>
      </c>
      <c r="BC225">
        <v>115</v>
      </c>
      <c r="BD225" t="s">
        <v>74</v>
      </c>
      <c r="BE225" t="s">
        <v>74</v>
      </c>
      <c r="BF225" t="s">
        <v>74</v>
      </c>
      <c r="BG225" t="s">
        <v>74</v>
      </c>
      <c r="BH225" t="s">
        <v>74</v>
      </c>
      <c r="BI225">
        <v>4</v>
      </c>
      <c r="BJ225" t="s">
        <v>216</v>
      </c>
      <c r="BK225" t="s">
        <v>96</v>
      </c>
      <c r="BL225" t="s">
        <v>216</v>
      </c>
      <c r="BM225" t="s">
        <v>3291</v>
      </c>
      <c r="BN225" t="s">
        <v>74</v>
      </c>
      <c r="BO225" t="s">
        <v>74</v>
      </c>
      <c r="BP225" t="s">
        <v>74</v>
      </c>
      <c r="BQ225" t="s">
        <v>74</v>
      </c>
      <c r="BR225" t="s">
        <v>99</v>
      </c>
      <c r="BS225" t="s">
        <v>3292</v>
      </c>
      <c r="BT225" t="str">
        <f>HYPERLINK("https%3A%2F%2Fwww.webofscience.com%2Fwos%2Fwoscc%2Ffull-record%2FWOS:000083685000017","View Full Record in Web of Science")</f>
        <v>View Full Record in Web of Science</v>
      </c>
    </row>
    <row r="226" spans="1:72" x14ac:dyDescent="0.15">
      <c r="A226" t="s">
        <v>72</v>
      </c>
      <c r="B226" t="s">
        <v>3293</v>
      </c>
      <c r="C226" t="s">
        <v>74</v>
      </c>
      <c r="D226" t="s">
        <v>74</v>
      </c>
      <c r="E226" t="s">
        <v>74</v>
      </c>
      <c r="F226" t="s">
        <v>3293</v>
      </c>
      <c r="G226" t="s">
        <v>74</v>
      </c>
      <c r="H226" t="s">
        <v>74</v>
      </c>
      <c r="I226" t="s">
        <v>3294</v>
      </c>
      <c r="J226" t="s">
        <v>3295</v>
      </c>
      <c r="K226" t="s">
        <v>74</v>
      </c>
      <c r="L226" t="s">
        <v>74</v>
      </c>
      <c r="M226" t="s">
        <v>77</v>
      </c>
      <c r="N226" t="s">
        <v>78</v>
      </c>
      <c r="O226" t="s">
        <v>74</v>
      </c>
      <c r="P226" t="s">
        <v>74</v>
      </c>
      <c r="Q226" t="s">
        <v>74</v>
      </c>
      <c r="R226" t="s">
        <v>74</v>
      </c>
      <c r="S226" t="s">
        <v>74</v>
      </c>
      <c r="T226" t="s">
        <v>3296</v>
      </c>
      <c r="U226" t="s">
        <v>3297</v>
      </c>
      <c r="V226" t="s">
        <v>3298</v>
      </c>
      <c r="W226" t="s">
        <v>3299</v>
      </c>
      <c r="X226" t="s">
        <v>3300</v>
      </c>
      <c r="Y226" t="s">
        <v>3301</v>
      </c>
      <c r="Z226" t="s">
        <v>74</v>
      </c>
      <c r="AA226" t="s">
        <v>3302</v>
      </c>
      <c r="AB226" t="s">
        <v>3303</v>
      </c>
      <c r="AC226" t="s">
        <v>74</v>
      </c>
      <c r="AD226" t="s">
        <v>74</v>
      </c>
      <c r="AE226" t="s">
        <v>74</v>
      </c>
      <c r="AF226" t="s">
        <v>74</v>
      </c>
      <c r="AG226">
        <v>21</v>
      </c>
      <c r="AH226">
        <v>15</v>
      </c>
      <c r="AI226">
        <v>18</v>
      </c>
      <c r="AJ226">
        <v>0</v>
      </c>
      <c r="AK226">
        <v>7</v>
      </c>
      <c r="AL226" t="s">
        <v>3304</v>
      </c>
      <c r="AM226" t="s">
        <v>531</v>
      </c>
      <c r="AN226" t="s">
        <v>3305</v>
      </c>
      <c r="AO226" t="s">
        <v>3306</v>
      </c>
      <c r="AP226" t="s">
        <v>74</v>
      </c>
      <c r="AQ226" t="s">
        <v>74</v>
      </c>
      <c r="AR226" t="s">
        <v>3295</v>
      </c>
      <c r="AS226" t="s">
        <v>3307</v>
      </c>
      <c r="AT226" t="s">
        <v>2982</v>
      </c>
      <c r="AU226">
        <v>1999</v>
      </c>
      <c r="AV226">
        <v>9</v>
      </c>
      <c r="AW226">
        <v>5</v>
      </c>
      <c r="AX226" t="s">
        <v>74</v>
      </c>
      <c r="AY226" t="s">
        <v>74</v>
      </c>
      <c r="AZ226" t="s">
        <v>74</v>
      </c>
      <c r="BA226" t="s">
        <v>74</v>
      </c>
      <c r="BB226">
        <v>515</v>
      </c>
      <c r="BC226">
        <v>520</v>
      </c>
      <c r="BD226" t="s">
        <v>74</v>
      </c>
      <c r="BE226" t="s">
        <v>3308</v>
      </c>
      <c r="BF226" t="str">
        <f>HYPERLINK("http://dx.doi.org/10.1191/095968399672424476","http://dx.doi.org/10.1191/095968399672424476")</f>
        <v>http://dx.doi.org/10.1191/095968399672424476</v>
      </c>
      <c r="BG226" t="s">
        <v>74</v>
      </c>
      <c r="BH226" t="s">
        <v>74</v>
      </c>
      <c r="BI226">
        <v>6</v>
      </c>
      <c r="BJ226" t="s">
        <v>2151</v>
      </c>
      <c r="BK226" t="s">
        <v>96</v>
      </c>
      <c r="BL226" t="s">
        <v>2152</v>
      </c>
      <c r="BM226" t="s">
        <v>3309</v>
      </c>
      <c r="BN226" t="s">
        <v>74</v>
      </c>
      <c r="BO226" t="s">
        <v>74</v>
      </c>
      <c r="BP226" t="s">
        <v>74</v>
      </c>
      <c r="BQ226" t="s">
        <v>74</v>
      </c>
      <c r="BR226" t="s">
        <v>99</v>
      </c>
      <c r="BS226" t="s">
        <v>3310</v>
      </c>
      <c r="BT226" t="str">
        <f>HYPERLINK("https%3A%2F%2Fwww.webofscience.com%2Fwos%2Fwoscc%2Ffull-record%2FWOS:000082453600002","View Full Record in Web of Science")</f>
        <v>View Full Record in Web of Science</v>
      </c>
    </row>
    <row r="227" spans="1:72" x14ac:dyDescent="0.15">
      <c r="A227" t="s">
        <v>72</v>
      </c>
      <c r="B227" t="s">
        <v>3311</v>
      </c>
      <c r="C227" t="s">
        <v>74</v>
      </c>
      <c r="D227" t="s">
        <v>74</v>
      </c>
      <c r="E227" t="s">
        <v>74</v>
      </c>
      <c r="F227" t="s">
        <v>3311</v>
      </c>
      <c r="G227" t="s">
        <v>74</v>
      </c>
      <c r="H227" t="s">
        <v>74</v>
      </c>
      <c r="I227" t="s">
        <v>3312</v>
      </c>
      <c r="J227" t="s">
        <v>3313</v>
      </c>
      <c r="K227" t="s">
        <v>74</v>
      </c>
      <c r="L227" t="s">
        <v>74</v>
      </c>
      <c r="M227" t="s">
        <v>77</v>
      </c>
      <c r="N227" t="s">
        <v>78</v>
      </c>
      <c r="O227" t="s">
        <v>74</v>
      </c>
      <c r="P227" t="s">
        <v>74</v>
      </c>
      <c r="Q227" t="s">
        <v>74</v>
      </c>
      <c r="R227" t="s">
        <v>74</v>
      </c>
      <c r="S227" t="s">
        <v>74</v>
      </c>
      <c r="T227" t="s">
        <v>3314</v>
      </c>
      <c r="U227" t="s">
        <v>3315</v>
      </c>
      <c r="V227" t="s">
        <v>3316</v>
      </c>
      <c r="W227" t="s">
        <v>3317</v>
      </c>
      <c r="X227" t="s">
        <v>131</v>
      </c>
      <c r="Y227" t="s">
        <v>74</v>
      </c>
      <c r="Z227" t="s">
        <v>74</v>
      </c>
      <c r="AA227" t="s">
        <v>74</v>
      </c>
      <c r="AB227" t="s">
        <v>74</v>
      </c>
      <c r="AC227" t="s">
        <v>74</v>
      </c>
      <c r="AD227" t="s">
        <v>74</v>
      </c>
      <c r="AE227" t="s">
        <v>74</v>
      </c>
      <c r="AF227" t="s">
        <v>74</v>
      </c>
      <c r="AG227">
        <v>24</v>
      </c>
      <c r="AH227">
        <v>3</v>
      </c>
      <c r="AI227">
        <v>3</v>
      </c>
      <c r="AJ227">
        <v>0</v>
      </c>
      <c r="AK227">
        <v>1</v>
      </c>
      <c r="AL227" t="s">
        <v>1427</v>
      </c>
      <c r="AM227" t="s">
        <v>276</v>
      </c>
      <c r="AN227" t="s">
        <v>1428</v>
      </c>
      <c r="AO227" t="s">
        <v>3318</v>
      </c>
      <c r="AP227" t="s">
        <v>74</v>
      </c>
      <c r="AQ227" t="s">
        <v>74</v>
      </c>
      <c r="AR227" t="s">
        <v>3319</v>
      </c>
      <c r="AS227" t="s">
        <v>3320</v>
      </c>
      <c r="AT227" t="s">
        <v>2982</v>
      </c>
      <c r="AU227">
        <v>1999</v>
      </c>
      <c r="AV227">
        <v>30</v>
      </c>
      <c r="AW227">
        <v>7</v>
      </c>
      <c r="AX227" t="s">
        <v>74</v>
      </c>
      <c r="AY227" t="s">
        <v>74</v>
      </c>
      <c r="AZ227" t="s">
        <v>74</v>
      </c>
      <c r="BA227" t="s">
        <v>74</v>
      </c>
      <c r="BB227">
        <v>491</v>
      </c>
      <c r="BC227">
        <v>495</v>
      </c>
      <c r="BD227" t="s">
        <v>74</v>
      </c>
      <c r="BE227" t="s">
        <v>3321</v>
      </c>
      <c r="BF227" t="str">
        <f>HYPERLINK("http://dx.doi.org/10.1016/S0020-1383(99)00139-4","http://dx.doi.org/10.1016/S0020-1383(99)00139-4")</f>
        <v>http://dx.doi.org/10.1016/S0020-1383(99)00139-4</v>
      </c>
      <c r="BG227" t="s">
        <v>74</v>
      </c>
      <c r="BH227" t="s">
        <v>74</v>
      </c>
      <c r="BI227">
        <v>5</v>
      </c>
      <c r="BJ227" t="s">
        <v>3322</v>
      </c>
      <c r="BK227" t="s">
        <v>96</v>
      </c>
      <c r="BL227" t="s">
        <v>3323</v>
      </c>
      <c r="BM227" t="s">
        <v>3324</v>
      </c>
      <c r="BN227">
        <v>10707217</v>
      </c>
      <c r="BO227" t="s">
        <v>74</v>
      </c>
      <c r="BP227" t="s">
        <v>74</v>
      </c>
      <c r="BQ227" t="s">
        <v>74</v>
      </c>
      <c r="BR227" t="s">
        <v>99</v>
      </c>
      <c r="BS227" t="s">
        <v>3325</v>
      </c>
      <c r="BT227" t="str">
        <f>HYPERLINK("https%3A%2F%2Fwww.webofscience.com%2Fwos%2Fwoscc%2Ffull-record%2FWOS:000081487700007","View Full Record in Web of Science")</f>
        <v>View Full Record in Web of Science</v>
      </c>
    </row>
    <row r="228" spans="1:72" x14ac:dyDescent="0.15">
      <c r="A228" t="s">
        <v>72</v>
      </c>
      <c r="B228" t="s">
        <v>2179</v>
      </c>
      <c r="C228" t="s">
        <v>74</v>
      </c>
      <c r="D228" t="s">
        <v>74</v>
      </c>
      <c r="E228" t="s">
        <v>74</v>
      </c>
      <c r="F228" t="s">
        <v>2179</v>
      </c>
      <c r="G228" t="s">
        <v>74</v>
      </c>
      <c r="H228" t="s">
        <v>74</v>
      </c>
      <c r="I228" t="s">
        <v>3326</v>
      </c>
      <c r="J228" t="s">
        <v>2181</v>
      </c>
      <c r="K228" t="s">
        <v>74</v>
      </c>
      <c r="L228" t="s">
        <v>74</v>
      </c>
      <c r="M228" t="s">
        <v>77</v>
      </c>
      <c r="N228" t="s">
        <v>78</v>
      </c>
      <c r="O228" t="s">
        <v>74</v>
      </c>
      <c r="P228" t="s">
        <v>74</v>
      </c>
      <c r="Q228" t="s">
        <v>74</v>
      </c>
      <c r="R228" t="s">
        <v>74</v>
      </c>
      <c r="S228" t="s">
        <v>74</v>
      </c>
      <c r="T228" t="s">
        <v>3327</v>
      </c>
      <c r="U228" t="s">
        <v>3328</v>
      </c>
      <c r="V228" t="s">
        <v>3329</v>
      </c>
      <c r="W228" t="s">
        <v>2185</v>
      </c>
      <c r="X228" t="s">
        <v>2186</v>
      </c>
      <c r="Y228" t="s">
        <v>2844</v>
      </c>
      <c r="Z228" t="s">
        <v>74</v>
      </c>
      <c r="AA228" t="s">
        <v>2188</v>
      </c>
      <c r="AB228" t="s">
        <v>74</v>
      </c>
      <c r="AC228" t="s">
        <v>74</v>
      </c>
      <c r="AD228" t="s">
        <v>74</v>
      </c>
      <c r="AE228" t="s">
        <v>74</v>
      </c>
      <c r="AF228" t="s">
        <v>74</v>
      </c>
      <c r="AG228">
        <v>26</v>
      </c>
      <c r="AH228">
        <v>39</v>
      </c>
      <c r="AI228">
        <v>46</v>
      </c>
      <c r="AJ228">
        <v>0</v>
      </c>
      <c r="AK228">
        <v>6</v>
      </c>
      <c r="AL228" t="s">
        <v>997</v>
      </c>
      <c r="AM228" t="s">
        <v>998</v>
      </c>
      <c r="AN228" t="s">
        <v>999</v>
      </c>
      <c r="AO228" t="s">
        <v>2192</v>
      </c>
      <c r="AP228" t="s">
        <v>3330</v>
      </c>
      <c r="AQ228" t="s">
        <v>74</v>
      </c>
      <c r="AR228" t="s">
        <v>2193</v>
      </c>
      <c r="AS228" t="s">
        <v>2194</v>
      </c>
      <c r="AT228" t="s">
        <v>2982</v>
      </c>
      <c r="AU228">
        <v>1999</v>
      </c>
      <c r="AV228">
        <v>19</v>
      </c>
      <c r="AW228">
        <v>11</v>
      </c>
      <c r="AX228" t="s">
        <v>74</v>
      </c>
      <c r="AY228" t="s">
        <v>74</v>
      </c>
      <c r="AZ228" t="s">
        <v>74</v>
      </c>
      <c r="BA228" t="s">
        <v>74</v>
      </c>
      <c r="BB228">
        <v>1187</v>
      </c>
      <c r="BC228">
        <v>1204</v>
      </c>
      <c r="BD228" t="s">
        <v>74</v>
      </c>
      <c r="BE228" t="s">
        <v>74</v>
      </c>
      <c r="BF228" t="s">
        <v>74</v>
      </c>
      <c r="BG228" t="s">
        <v>74</v>
      </c>
      <c r="BH228" t="s">
        <v>74</v>
      </c>
      <c r="BI228">
        <v>18</v>
      </c>
      <c r="BJ228" t="s">
        <v>95</v>
      </c>
      <c r="BK228" t="s">
        <v>96</v>
      </c>
      <c r="BL228" t="s">
        <v>95</v>
      </c>
      <c r="BM228" t="s">
        <v>3331</v>
      </c>
      <c r="BN228" t="s">
        <v>74</v>
      </c>
      <c r="BO228" t="s">
        <v>74</v>
      </c>
      <c r="BP228" t="s">
        <v>74</v>
      </c>
      <c r="BQ228" t="s">
        <v>74</v>
      </c>
      <c r="BR228" t="s">
        <v>99</v>
      </c>
      <c r="BS228" t="s">
        <v>3332</v>
      </c>
      <c r="BT228" t="str">
        <f>HYPERLINK("https%3A%2F%2Fwww.webofscience.com%2Fwos%2Fwoscc%2Ffull-record%2FWOS:000082544000003","View Full Record in Web of Science")</f>
        <v>View Full Record in Web of Science</v>
      </c>
    </row>
    <row r="229" spans="1:72" x14ac:dyDescent="0.15">
      <c r="A229" t="s">
        <v>72</v>
      </c>
      <c r="B229" t="s">
        <v>3333</v>
      </c>
      <c r="C229" t="s">
        <v>74</v>
      </c>
      <c r="D229" t="s">
        <v>74</v>
      </c>
      <c r="E229" t="s">
        <v>74</v>
      </c>
      <c r="F229" t="s">
        <v>3333</v>
      </c>
      <c r="G229" t="s">
        <v>74</v>
      </c>
      <c r="H229" t="s">
        <v>74</v>
      </c>
      <c r="I229" t="s">
        <v>3334</v>
      </c>
      <c r="J229" t="s">
        <v>3335</v>
      </c>
      <c r="K229" t="s">
        <v>74</v>
      </c>
      <c r="L229" t="s">
        <v>74</v>
      </c>
      <c r="M229" t="s">
        <v>77</v>
      </c>
      <c r="N229" t="s">
        <v>123</v>
      </c>
      <c r="O229" t="s">
        <v>3336</v>
      </c>
      <c r="P229" t="s">
        <v>3337</v>
      </c>
      <c r="Q229" t="s">
        <v>3338</v>
      </c>
      <c r="R229" t="s">
        <v>74</v>
      </c>
      <c r="S229" t="s">
        <v>74</v>
      </c>
      <c r="T229" t="s">
        <v>3339</v>
      </c>
      <c r="U229" t="s">
        <v>3340</v>
      </c>
      <c r="V229" t="s">
        <v>3341</v>
      </c>
      <c r="W229" t="s">
        <v>3342</v>
      </c>
      <c r="X229" t="s">
        <v>3343</v>
      </c>
      <c r="Y229" t="s">
        <v>3344</v>
      </c>
      <c r="Z229" t="s">
        <v>74</v>
      </c>
      <c r="AA229" t="s">
        <v>74</v>
      </c>
      <c r="AB229" t="s">
        <v>3345</v>
      </c>
      <c r="AC229" t="s">
        <v>74</v>
      </c>
      <c r="AD229" t="s">
        <v>74</v>
      </c>
      <c r="AE229" t="s">
        <v>74</v>
      </c>
      <c r="AF229" t="s">
        <v>74</v>
      </c>
      <c r="AG229">
        <v>95</v>
      </c>
      <c r="AH229">
        <v>66</v>
      </c>
      <c r="AI229">
        <v>68</v>
      </c>
      <c r="AJ229">
        <v>1</v>
      </c>
      <c r="AK229">
        <v>47</v>
      </c>
      <c r="AL229" t="s">
        <v>3346</v>
      </c>
      <c r="AM229" t="s">
        <v>3347</v>
      </c>
      <c r="AN229" t="s">
        <v>3348</v>
      </c>
      <c r="AO229" t="s">
        <v>3349</v>
      </c>
      <c r="AP229" t="s">
        <v>74</v>
      </c>
      <c r="AQ229" t="s">
        <v>74</v>
      </c>
      <c r="AR229" t="s">
        <v>3350</v>
      </c>
      <c r="AS229" t="s">
        <v>3351</v>
      </c>
      <c r="AT229" t="s">
        <v>2982</v>
      </c>
      <c r="AU229">
        <v>1999</v>
      </c>
      <c r="AV229">
        <v>36</v>
      </c>
      <c r="AW229" t="s">
        <v>2622</v>
      </c>
      <c r="AX229" t="s">
        <v>74</v>
      </c>
      <c r="AY229" t="s">
        <v>74</v>
      </c>
      <c r="AZ229" t="s">
        <v>74</v>
      </c>
      <c r="BA229" t="s">
        <v>74</v>
      </c>
      <c r="BB229">
        <v>25</v>
      </c>
      <c r="BC229">
        <v>34</v>
      </c>
      <c r="BD229" t="s">
        <v>74</v>
      </c>
      <c r="BE229" t="s">
        <v>3352</v>
      </c>
      <c r="BF229" t="str">
        <f>HYPERLINK("http://dx.doi.org/10.1080/07924259.1999.9652674","http://dx.doi.org/10.1080/07924259.1999.9652674")</f>
        <v>http://dx.doi.org/10.1080/07924259.1999.9652674</v>
      </c>
      <c r="BG229" t="s">
        <v>74</v>
      </c>
      <c r="BH229" t="s">
        <v>74</v>
      </c>
      <c r="BI229">
        <v>10</v>
      </c>
      <c r="BJ229" t="s">
        <v>3353</v>
      </c>
      <c r="BK229" t="s">
        <v>143</v>
      </c>
      <c r="BL229" t="s">
        <v>3353</v>
      </c>
      <c r="BM229" t="s">
        <v>3354</v>
      </c>
      <c r="BN229" t="s">
        <v>74</v>
      </c>
      <c r="BO229" t="s">
        <v>74</v>
      </c>
      <c r="BP229" t="s">
        <v>74</v>
      </c>
      <c r="BQ229" t="s">
        <v>74</v>
      </c>
      <c r="BR229" t="s">
        <v>99</v>
      </c>
      <c r="BS229" t="s">
        <v>3355</v>
      </c>
      <c r="BT229" t="str">
        <f>HYPERLINK("https%3A%2F%2Fwww.webofscience.com%2Fwos%2Fwoscc%2Ffull-record%2FWOS:000082280100004","View Full Record in Web of Science")</f>
        <v>View Full Record in Web of Science</v>
      </c>
    </row>
    <row r="230" spans="1:72" x14ac:dyDescent="0.15">
      <c r="A230" t="s">
        <v>72</v>
      </c>
      <c r="B230" t="s">
        <v>3356</v>
      </c>
      <c r="C230" t="s">
        <v>74</v>
      </c>
      <c r="D230" t="s">
        <v>74</v>
      </c>
      <c r="E230" t="s">
        <v>74</v>
      </c>
      <c r="F230" t="s">
        <v>3356</v>
      </c>
      <c r="G230" t="s">
        <v>74</v>
      </c>
      <c r="H230" t="s">
        <v>74</v>
      </c>
      <c r="I230" t="s">
        <v>3357</v>
      </c>
      <c r="J230" t="s">
        <v>3335</v>
      </c>
      <c r="K230" t="s">
        <v>74</v>
      </c>
      <c r="L230" t="s">
        <v>74</v>
      </c>
      <c r="M230" t="s">
        <v>77</v>
      </c>
      <c r="N230" t="s">
        <v>123</v>
      </c>
      <c r="O230" t="s">
        <v>3336</v>
      </c>
      <c r="P230" t="s">
        <v>3337</v>
      </c>
      <c r="Q230" t="s">
        <v>3338</v>
      </c>
      <c r="R230" t="s">
        <v>74</v>
      </c>
      <c r="S230" t="s">
        <v>74</v>
      </c>
      <c r="T230" t="s">
        <v>3358</v>
      </c>
      <c r="U230" t="s">
        <v>3359</v>
      </c>
      <c r="V230" t="s">
        <v>3360</v>
      </c>
      <c r="W230" t="s">
        <v>3361</v>
      </c>
      <c r="X230" t="s">
        <v>3362</v>
      </c>
      <c r="Y230" t="s">
        <v>3363</v>
      </c>
      <c r="Z230" t="s">
        <v>3364</v>
      </c>
      <c r="AA230" t="s">
        <v>74</v>
      </c>
      <c r="AB230" t="s">
        <v>3365</v>
      </c>
      <c r="AC230" t="s">
        <v>74</v>
      </c>
      <c r="AD230" t="s">
        <v>74</v>
      </c>
      <c r="AE230" t="s">
        <v>74</v>
      </c>
      <c r="AF230" t="s">
        <v>74</v>
      </c>
      <c r="AG230">
        <v>18</v>
      </c>
      <c r="AH230">
        <v>18</v>
      </c>
      <c r="AI230">
        <v>19</v>
      </c>
      <c r="AJ230">
        <v>0</v>
      </c>
      <c r="AK230">
        <v>6</v>
      </c>
      <c r="AL230" t="s">
        <v>1645</v>
      </c>
      <c r="AM230" t="s">
        <v>1646</v>
      </c>
      <c r="AN230" t="s">
        <v>1647</v>
      </c>
      <c r="AO230" t="s">
        <v>3366</v>
      </c>
      <c r="AP230" t="s">
        <v>3367</v>
      </c>
      <c r="AQ230" t="s">
        <v>74</v>
      </c>
      <c r="AR230" t="s">
        <v>3350</v>
      </c>
      <c r="AS230" t="s">
        <v>3351</v>
      </c>
      <c r="AT230" t="s">
        <v>2982</v>
      </c>
      <c r="AU230">
        <v>1999</v>
      </c>
      <c r="AV230">
        <v>36</v>
      </c>
      <c r="AW230" t="s">
        <v>2622</v>
      </c>
      <c r="AX230" t="s">
        <v>74</v>
      </c>
      <c r="AY230" t="s">
        <v>74</v>
      </c>
      <c r="AZ230" t="s">
        <v>74</v>
      </c>
      <c r="BA230" t="s">
        <v>74</v>
      </c>
      <c r="BB230">
        <v>163</v>
      </c>
      <c r="BC230">
        <v>170</v>
      </c>
      <c r="BD230" t="s">
        <v>74</v>
      </c>
      <c r="BE230" t="s">
        <v>3368</v>
      </c>
      <c r="BF230" t="str">
        <f>HYPERLINK("http://dx.doi.org/10.1080/07924259.1999.9652694","http://dx.doi.org/10.1080/07924259.1999.9652694")</f>
        <v>http://dx.doi.org/10.1080/07924259.1999.9652694</v>
      </c>
      <c r="BG230" t="s">
        <v>74</v>
      </c>
      <c r="BH230" t="s">
        <v>74</v>
      </c>
      <c r="BI230">
        <v>8</v>
      </c>
      <c r="BJ230" t="s">
        <v>3353</v>
      </c>
      <c r="BK230" t="s">
        <v>156</v>
      </c>
      <c r="BL230" t="s">
        <v>3353</v>
      </c>
      <c r="BM230" t="s">
        <v>3354</v>
      </c>
      <c r="BN230" t="s">
        <v>74</v>
      </c>
      <c r="BO230" t="s">
        <v>74</v>
      </c>
      <c r="BP230" t="s">
        <v>74</v>
      </c>
      <c r="BQ230" t="s">
        <v>74</v>
      </c>
      <c r="BR230" t="s">
        <v>99</v>
      </c>
      <c r="BS230" t="s">
        <v>3369</v>
      </c>
      <c r="BT230" t="str">
        <f>HYPERLINK("https%3A%2F%2Fwww.webofscience.com%2Fwos%2Fwoscc%2Ffull-record%2FWOS:000082280100024","View Full Record in Web of Science")</f>
        <v>View Full Record in Web of Science</v>
      </c>
    </row>
    <row r="231" spans="1:72" x14ac:dyDescent="0.15">
      <c r="A231" t="s">
        <v>72</v>
      </c>
      <c r="B231" t="s">
        <v>3370</v>
      </c>
      <c r="C231" t="s">
        <v>74</v>
      </c>
      <c r="D231" t="s">
        <v>74</v>
      </c>
      <c r="E231" t="s">
        <v>74</v>
      </c>
      <c r="F231" t="s">
        <v>3370</v>
      </c>
      <c r="G231" t="s">
        <v>74</v>
      </c>
      <c r="H231" t="s">
        <v>74</v>
      </c>
      <c r="I231" t="s">
        <v>3371</v>
      </c>
      <c r="J231" t="s">
        <v>1012</v>
      </c>
      <c r="K231" t="s">
        <v>74</v>
      </c>
      <c r="L231" t="s">
        <v>74</v>
      </c>
      <c r="M231" t="s">
        <v>845</v>
      </c>
      <c r="N231" t="s">
        <v>78</v>
      </c>
      <c r="O231" t="s">
        <v>74</v>
      </c>
      <c r="P231" t="s">
        <v>74</v>
      </c>
      <c r="Q231" t="s">
        <v>74</v>
      </c>
      <c r="R231" t="s">
        <v>74</v>
      </c>
      <c r="S231" t="s">
        <v>74</v>
      </c>
      <c r="T231" t="s">
        <v>74</v>
      </c>
      <c r="U231" t="s">
        <v>74</v>
      </c>
      <c r="V231" t="s">
        <v>3372</v>
      </c>
      <c r="W231" t="s">
        <v>3373</v>
      </c>
      <c r="X231" t="s">
        <v>847</v>
      </c>
      <c r="Y231" t="s">
        <v>3374</v>
      </c>
      <c r="Z231" t="s">
        <v>74</v>
      </c>
      <c r="AA231" t="s">
        <v>3375</v>
      </c>
      <c r="AB231" t="s">
        <v>74</v>
      </c>
      <c r="AC231" t="s">
        <v>74</v>
      </c>
      <c r="AD231" t="s">
        <v>74</v>
      </c>
      <c r="AE231" t="s">
        <v>74</v>
      </c>
      <c r="AF231" t="s">
        <v>74</v>
      </c>
      <c r="AG231">
        <v>7</v>
      </c>
      <c r="AH231">
        <v>1</v>
      </c>
      <c r="AI231">
        <v>1</v>
      </c>
      <c r="AJ231">
        <v>0</v>
      </c>
      <c r="AK231">
        <v>2</v>
      </c>
      <c r="AL231" t="s">
        <v>849</v>
      </c>
      <c r="AM231" t="s">
        <v>850</v>
      </c>
      <c r="AN231" t="s">
        <v>851</v>
      </c>
      <c r="AO231" t="s">
        <v>1019</v>
      </c>
      <c r="AP231" t="s">
        <v>74</v>
      </c>
      <c r="AQ231" t="s">
        <v>74</v>
      </c>
      <c r="AR231" t="s">
        <v>1020</v>
      </c>
      <c r="AS231" t="s">
        <v>1021</v>
      </c>
      <c r="AT231" t="s">
        <v>3290</v>
      </c>
      <c r="AU231">
        <v>1999</v>
      </c>
      <c r="AV231">
        <v>35</v>
      </c>
      <c r="AW231">
        <v>5</v>
      </c>
      <c r="AX231" t="s">
        <v>74</v>
      </c>
      <c r="AY231" t="s">
        <v>74</v>
      </c>
      <c r="AZ231" t="s">
        <v>74</v>
      </c>
      <c r="BA231" t="s">
        <v>74</v>
      </c>
      <c r="BB231">
        <v>596</v>
      </c>
      <c r="BC231">
        <v>601</v>
      </c>
      <c r="BD231" t="s">
        <v>74</v>
      </c>
      <c r="BE231" t="s">
        <v>74</v>
      </c>
      <c r="BF231" t="s">
        <v>74</v>
      </c>
      <c r="BG231" t="s">
        <v>74</v>
      </c>
      <c r="BH231" t="s">
        <v>74</v>
      </c>
      <c r="BI231">
        <v>6</v>
      </c>
      <c r="BJ231" t="s">
        <v>1022</v>
      </c>
      <c r="BK231" t="s">
        <v>96</v>
      </c>
      <c r="BL231" t="s">
        <v>1022</v>
      </c>
      <c r="BM231" t="s">
        <v>3376</v>
      </c>
      <c r="BN231" t="s">
        <v>74</v>
      </c>
      <c r="BO231" t="s">
        <v>74</v>
      </c>
      <c r="BP231" t="s">
        <v>74</v>
      </c>
      <c r="BQ231" t="s">
        <v>74</v>
      </c>
      <c r="BR231" t="s">
        <v>99</v>
      </c>
      <c r="BS231" t="s">
        <v>3377</v>
      </c>
      <c r="BT231" t="str">
        <f>HYPERLINK("https%3A%2F%2Fwww.webofscience.com%2Fwos%2Fwoscc%2Ffull-record%2FWOS:000083781900004","View Full Record in Web of Science")</f>
        <v>View Full Record in Web of Science</v>
      </c>
    </row>
    <row r="232" spans="1:72" x14ac:dyDescent="0.15">
      <c r="A232" t="s">
        <v>72</v>
      </c>
      <c r="B232" t="s">
        <v>3378</v>
      </c>
      <c r="C232" t="s">
        <v>74</v>
      </c>
      <c r="D232" t="s">
        <v>74</v>
      </c>
      <c r="E232" t="s">
        <v>74</v>
      </c>
      <c r="F232" t="s">
        <v>3378</v>
      </c>
      <c r="G232" t="s">
        <v>74</v>
      </c>
      <c r="H232" t="s">
        <v>74</v>
      </c>
      <c r="I232" t="s">
        <v>3379</v>
      </c>
      <c r="J232" t="s">
        <v>1012</v>
      </c>
      <c r="K232" t="s">
        <v>74</v>
      </c>
      <c r="L232" t="s">
        <v>74</v>
      </c>
      <c r="M232" t="s">
        <v>845</v>
      </c>
      <c r="N232" t="s">
        <v>78</v>
      </c>
      <c r="O232" t="s">
        <v>74</v>
      </c>
      <c r="P232" t="s">
        <v>74</v>
      </c>
      <c r="Q232" t="s">
        <v>74</v>
      </c>
      <c r="R232" t="s">
        <v>74</v>
      </c>
      <c r="S232" t="s">
        <v>74</v>
      </c>
      <c r="T232" t="s">
        <v>74</v>
      </c>
      <c r="U232" t="s">
        <v>3380</v>
      </c>
      <c r="V232" t="s">
        <v>3381</v>
      </c>
      <c r="W232" t="s">
        <v>3382</v>
      </c>
      <c r="X232" t="s">
        <v>3383</v>
      </c>
      <c r="Y232" t="s">
        <v>3384</v>
      </c>
      <c r="Z232" t="s">
        <v>74</v>
      </c>
      <c r="AA232" t="s">
        <v>74</v>
      </c>
      <c r="AB232" t="s">
        <v>3385</v>
      </c>
      <c r="AC232" t="s">
        <v>74</v>
      </c>
      <c r="AD232" t="s">
        <v>74</v>
      </c>
      <c r="AE232" t="s">
        <v>74</v>
      </c>
      <c r="AF232" t="s">
        <v>74</v>
      </c>
      <c r="AG232">
        <v>8</v>
      </c>
      <c r="AH232">
        <v>0</v>
      </c>
      <c r="AI232">
        <v>0</v>
      </c>
      <c r="AJ232">
        <v>0</v>
      </c>
      <c r="AK232">
        <v>0</v>
      </c>
      <c r="AL232" t="s">
        <v>849</v>
      </c>
      <c r="AM232" t="s">
        <v>850</v>
      </c>
      <c r="AN232" t="s">
        <v>851</v>
      </c>
      <c r="AO232" t="s">
        <v>1019</v>
      </c>
      <c r="AP232" t="s">
        <v>74</v>
      </c>
      <c r="AQ232" t="s">
        <v>74</v>
      </c>
      <c r="AR232" t="s">
        <v>1020</v>
      </c>
      <c r="AS232" t="s">
        <v>1021</v>
      </c>
      <c r="AT232" t="s">
        <v>3290</v>
      </c>
      <c r="AU232">
        <v>1999</v>
      </c>
      <c r="AV232">
        <v>35</v>
      </c>
      <c r="AW232">
        <v>5</v>
      </c>
      <c r="AX232" t="s">
        <v>74</v>
      </c>
      <c r="AY232" t="s">
        <v>74</v>
      </c>
      <c r="AZ232" t="s">
        <v>74</v>
      </c>
      <c r="BA232" t="s">
        <v>74</v>
      </c>
      <c r="BB232">
        <v>689</v>
      </c>
      <c r="BC232">
        <v>698</v>
      </c>
      <c r="BD232" t="s">
        <v>74</v>
      </c>
      <c r="BE232" t="s">
        <v>74</v>
      </c>
      <c r="BF232" t="s">
        <v>74</v>
      </c>
      <c r="BG232" t="s">
        <v>74</v>
      </c>
      <c r="BH232" t="s">
        <v>74</v>
      </c>
      <c r="BI232">
        <v>10</v>
      </c>
      <c r="BJ232" t="s">
        <v>1022</v>
      </c>
      <c r="BK232" t="s">
        <v>96</v>
      </c>
      <c r="BL232" t="s">
        <v>1022</v>
      </c>
      <c r="BM232" t="s">
        <v>3376</v>
      </c>
      <c r="BN232" t="s">
        <v>74</v>
      </c>
      <c r="BO232" t="s">
        <v>74</v>
      </c>
      <c r="BP232" t="s">
        <v>74</v>
      </c>
      <c r="BQ232" t="s">
        <v>74</v>
      </c>
      <c r="BR232" t="s">
        <v>99</v>
      </c>
      <c r="BS232" t="s">
        <v>3386</v>
      </c>
      <c r="BT232" t="str">
        <f>HYPERLINK("https%3A%2F%2Fwww.webofscience.com%2Fwos%2Fwoscc%2Ffull-record%2FWOS:000083781900015","View Full Record in Web of Science")</f>
        <v>View Full Record in Web of Science</v>
      </c>
    </row>
    <row r="233" spans="1:72" x14ac:dyDescent="0.15">
      <c r="A233" t="s">
        <v>72</v>
      </c>
      <c r="B233" t="s">
        <v>3387</v>
      </c>
      <c r="C233" t="s">
        <v>74</v>
      </c>
      <c r="D233" t="s">
        <v>74</v>
      </c>
      <c r="E233" t="s">
        <v>74</v>
      </c>
      <c r="F233" t="s">
        <v>3387</v>
      </c>
      <c r="G233" t="s">
        <v>74</v>
      </c>
      <c r="H233" t="s">
        <v>74</v>
      </c>
      <c r="I233" t="s">
        <v>3388</v>
      </c>
      <c r="J233" t="s">
        <v>1012</v>
      </c>
      <c r="K233" t="s">
        <v>74</v>
      </c>
      <c r="L233" t="s">
        <v>74</v>
      </c>
      <c r="M233" t="s">
        <v>845</v>
      </c>
      <c r="N233" t="s">
        <v>78</v>
      </c>
      <c r="O233" t="s">
        <v>74</v>
      </c>
      <c r="P233" t="s">
        <v>74</v>
      </c>
      <c r="Q233" t="s">
        <v>74</v>
      </c>
      <c r="R233" t="s">
        <v>74</v>
      </c>
      <c r="S233" t="s">
        <v>74</v>
      </c>
      <c r="T233" t="s">
        <v>74</v>
      </c>
      <c r="U233" t="s">
        <v>3389</v>
      </c>
      <c r="V233" t="s">
        <v>3390</v>
      </c>
      <c r="W233" t="s">
        <v>3391</v>
      </c>
      <c r="X233" t="s">
        <v>847</v>
      </c>
      <c r="Y233" t="s">
        <v>3392</v>
      </c>
      <c r="Z233" t="s">
        <v>74</v>
      </c>
      <c r="AA233" t="s">
        <v>74</v>
      </c>
      <c r="AB233" t="s">
        <v>74</v>
      </c>
      <c r="AC233" t="s">
        <v>74</v>
      </c>
      <c r="AD233" t="s">
        <v>74</v>
      </c>
      <c r="AE233" t="s">
        <v>74</v>
      </c>
      <c r="AF233" t="s">
        <v>74</v>
      </c>
      <c r="AG233">
        <v>11</v>
      </c>
      <c r="AH233">
        <v>0</v>
      </c>
      <c r="AI233">
        <v>0</v>
      </c>
      <c r="AJ233">
        <v>0</v>
      </c>
      <c r="AK233">
        <v>0</v>
      </c>
      <c r="AL233" t="s">
        <v>849</v>
      </c>
      <c r="AM233" t="s">
        <v>850</v>
      </c>
      <c r="AN233" t="s">
        <v>851</v>
      </c>
      <c r="AO233" t="s">
        <v>1019</v>
      </c>
      <c r="AP233" t="s">
        <v>74</v>
      </c>
      <c r="AQ233" t="s">
        <v>74</v>
      </c>
      <c r="AR233" t="s">
        <v>1020</v>
      </c>
      <c r="AS233" t="s">
        <v>1021</v>
      </c>
      <c r="AT233" t="s">
        <v>3290</v>
      </c>
      <c r="AU233">
        <v>1999</v>
      </c>
      <c r="AV233">
        <v>35</v>
      </c>
      <c r="AW233">
        <v>5</v>
      </c>
      <c r="AX233" t="s">
        <v>74</v>
      </c>
      <c r="AY233" t="s">
        <v>74</v>
      </c>
      <c r="AZ233" t="s">
        <v>74</v>
      </c>
      <c r="BA233" t="s">
        <v>74</v>
      </c>
      <c r="BB233">
        <v>699</v>
      </c>
      <c r="BC233">
        <v>705</v>
      </c>
      <c r="BD233" t="s">
        <v>74</v>
      </c>
      <c r="BE233" t="s">
        <v>74</v>
      </c>
      <c r="BF233" t="s">
        <v>74</v>
      </c>
      <c r="BG233" t="s">
        <v>74</v>
      </c>
      <c r="BH233" t="s">
        <v>74</v>
      </c>
      <c r="BI233">
        <v>7</v>
      </c>
      <c r="BJ233" t="s">
        <v>1022</v>
      </c>
      <c r="BK233" t="s">
        <v>96</v>
      </c>
      <c r="BL233" t="s">
        <v>1022</v>
      </c>
      <c r="BM233" t="s">
        <v>3376</v>
      </c>
      <c r="BN233" t="s">
        <v>74</v>
      </c>
      <c r="BO233" t="s">
        <v>74</v>
      </c>
      <c r="BP233" t="s">
        <v>74</v>
      </c>
      <c r="BQ233" t="s">
        <v>74</v>
      </c>
      <c r="BR233" t="s">
        <v>99</v>
      </c>
      <c r="BS233" t="s">
        <v>3393</v>
      </c>
      <c r="BT233" t="str">
        <f>HYPERLINK("https%3A%2F%2Fwww.webofscience.com%2Fwos%2Fwoscc%2Ffull-record%2FWOS:000083781900016","View Full Record in Web of Science")</f>
        <v>View Full Record in Web of Science</v>
      </c>
    </row>
    <row r="234" spans="1:72" x14ac:dyDescent="0.15">
      <c r="A234" t="s">
        <v>72</v>
      </c>
      <c r="B234" t="s">
        <v>3394</v>
      </c>
      <c r="C234" t="s">
        <v>74</v>
      </c>
      <c r="D234" t="s">
        <v>74</v>
      </c>
      <c r="E234" t="s">
        <v>74</v>
      </c>
      <c r="F234" t="s">
        <v>3394</v>
      </c>
      <c r="G234" t="s">
        <v>74</v>
      </c>
      <c r="H234" t="s">
        <v>74</v>
      </c>
      <c r="I234" t="s">
        <v>3395</v>
      </c>
      <c r="J234" t="s">
        <v>3396</v>
      </c>
      <c r="K234" t="s">
        <v>74</v>
      </c>
      <c r="L234" t="s">
        <v>74</v>
      </c>
      <c r="M234" t="s">
        <v>77</v>
      </c>
      <c r="N234" t="s">
        <v>123</v>
      </c>
      <c r="O234" t="s">
        <v>3397</v>
      </c>
      <c r="P234" t="s">
        <v>3398</v>
      </c>
      <c r="Q234" t="s">
        <v>3399</v>
      </c>
      <c r="R234" t="s">
        <v>74</v>
      </c>
      <c r="S234" t="s">
        <v>74</v>
      </c>
      <c r="T234" t="s">
        <v>74</v>
      </c>
      <c r="U234" t="s">
        <v>3400</v>
      </c>
      <c r="V234" t="s">
        <v>3401</v>
      </c>
      <c r="W234" t="s">
        <v>3402</v>
      </c>
      <c r="X234" t="s">
        <v>3403</v>
      </c>
      <c r="Y234" t="s">
        <v>3404</v>
      </c>
      <c r="Z234" t="s">
        <v>74</v>
      </c>
      <c r="AA234" t="s">
        <v>3405</v>
      </c>
      <c r="AB234" t="s">
        <v>3406</v>
      </c>
      <c r="AC234" t="s">
        <v>74</v>
      </c>
      <c r="AD234" t="s">
        <v>74</v>
      </c>
      <c r="AE234" t="s">
        <v>74</v>
      </c>
      <c r="AF234" t="s">
        <v>74</v>
      </c>
      <c r="AG234">
        <v>22</v>
      </c>
      <c r="AH234">
        <v>70</v>
      </c>
      <c r="AI234">
        <v>76</v>
      </c>
      <c r="AJ234">
        <v>0</v>
      </c>
      <c r="AK234">
        <v>11</v>
      </c>
      <c r="AL234" t="s">
        <v>2504</v>
      </c>
      <c r="AM234" t="s">
        <v>2505</v>
      </c>
      <c r="AN234" t="s">
        <v>3407</v>
      </c>
      <c r="AO234" t="s">
        <v>3408</v>
      </c>
      <c r="AP234" t="s">
        <v>74</v>
      </c>
      <c r="AQ234" t="s">
        <v>74</v>
      </c>
      <c r="AR234" t="s">
        <v>3409</v>
      </c>
      <c r="AS234" t="s">
        <v>3410</v>
      </c>
      <c r="AT234" t="s">
        <v>2982</v>
      </c>
      <c r="AU234">
        <v>1999</v>
      </c>
      <c r="AV234">
        <v>14</v>
      </c>
      <c r="AW234">
        <v>9</v>
      </c>
      <c r="AX234" t="s">
        <v>74</v>
      </c>
      <c r="AY234" t="s">
        <v>74</v>
      </c>
      <c r="AZ234" t="s">
        <v>74</v>
      </c>
      <c r="BA234" t="s">
        <v>74</v>
      </c>
      <c r="BB234">
        <v>1433</v>
      </c>
      <c r="BC234">
        <v>1438</v>
      </c>
      <c r="BD234" t="s">
        <v>74</v>
      </c>
      <c r="BE234" t="s">
        <v>3411</v>
      </c>
      <c r="BF234" t="str">
        <f>HYPERLINK("http://dx.doi.org/10.1039/a901949i","http://dx.doi.org/10.1039/a901949i")</f>
        <v>http://dx.doi.org/10.1039/a901949i</v>
      </c>
      <c r="BG234" t="s">
        <v>74</v>
      </c>
      <c r="BH234" t="s">
        <v>74</v>
      </c>
      <c r="BI234">
        <v>6</v>
      </c>
      <c r="BJ234" t="s">
        <v>3412</v>
      </c>
      <c r="BK234" t="s">
        <v>143</v>
      </c>
      <c r="BL234" t="s">
        <v>3413</v>
      </c>
      <c r="BM234" t="s">
        <v>3414</v>
      </c>
      <c r="BN234" t="s">
        <v>74</v>
      </c>
      <c r="BO234" t="s">
        <v>74</v>
      </c>
      <c r="BP234" t="s">
        <v>74</v>
      </c>
      <c r="BQ234" t="s">
        <v>74</v>
      </c>
      <c r="BR234" t="s">
        <v>99</v>
      </c>
      <c r="BS234" t="s">
        <v>3415</v>
      </c>
      <c r="BT234" t="str">
        <f>HYPERLINK("https%3A%2F%2Fwww.webofscience.com%2Fwos%2Fwoscc%2Ffull-record%2FWOS:000083077900022","View Full Record in Web of Science")</f>
        <v>View Full Record in Web of Science</v>
      </c>
    </row>
    <row r="235" spans="1:72" x14ac:dyDescent="0.15">
      <c r="A235" t="s">
        <v>72</v>
      </c>
      <c r="B235" t="s">
        <v>3416</v>
      </c>
      <c r="C235" t="s">
        <v>74</v>
      </c>
      <c r="D235" t="s">
        <v>74</v>
      </c>
      <c r="E235" t="s">
        <v>74</v>
      </c>
      <c r="F235" t="s">
        <v>3416</v>
      </c>
      <c r="G235" t="s">
        <v>74</v>
      </c>
      <c r="H235" t="s">
        <v>74</v>
      </c>
      <c r="I235" t="s">
        <v>3417</v>
      </c>
      <c r="J235" t="s">
        <v>3396</v>
      </c>
      <c r="K235" t="s">
        <v>74</v>
      </c>
      <c r="L235" t="s">
        <v>74</v>
      </c>
      <c r="M235" t="s">
        <v>77</v>
      </c>
      <c r="N235" t="s">
        <v>123</v>
      </c>
      <c r="O235" t="s">
        <v>3397</v>
      </c>
      <c r="P235" t="s">
        <v>3398</v>
      </c>
      <c r="Q235" t="s">
        <v>3399</v>
      </c>
      <c r="R235" t="s">
        <v>74</v>
      </c>
      <c r="S235" t="s">
        <v>74</v>
      </c>
      <c r="T235" t="s">
        <v>74</v>
      </c>
      <c r="U235" t="s">
        <v>3418</v>
      </c>
      <c r="V235" t="s">
        <v>3419</v>
      </c>
      <c r="W235" t="s">
        <v>3420</v>
      </c>
      <c r="X235" t="s">
        <v>3421</v>
      </c>
      <c r="Y235" t="s">
        <v>3422</v>
      </c>
      <c r="Z235" t="s">
        <v>74</v>
      </c>
      <c r="AA235" t="s">
        <v>3423</v>
      </c>
      <c r="AB235" t="s">
        <v>3424</v>
      </c>
      <c r="AC235" t="s">
        <v>74</v>
      </c>
      <c r="AD235" t="s">
        <v>74</v>
      </c>
      <c r="AE235" t="s">
        <v>74</v>
      </c>
      <c r="AF235" t="s">
        <v>74</v>
      </c>
      <c r="AG235">
        <v>37</v>
      </c>
      <c r="AH235">
        <v>40</v>
      </c>
      <c r="AI235">
        <v>41</v>
      </c>
      <c r="AJ235">
        <v>0</v>
      </c>
      <c r="AK235">
        <v>13</v>
      </c>
      <c r="AL235" t="s">
        <v>2504</v>
      </c>
      <c r="AM235" t="s">
        <v>2505</v>
      </c>
      <c r="AN235" t="s">
        <v>3407</v>
      </c>
      <c r="AO235" t="s">
        <v>3408</v>
      </c>
      <c r="AP235" t="s">
        <v>74</v>
      </c>
      <c r="AQ235" t="s">
        <v>74</v>
      </c>
      <c r="AR235" t="s">
        <v>3409</v>
      </c>
      <c r="AS235" t="s">
        <v>3410</v>
      </c>
      <c r="AT235" t="s">
        <v>2982</v>
      </c>
      <c r="AU235">
        <v>1999</v>
      </c>
      <c r="AV235">
        <v>14</v>
      </c>
      <c r="AW235">
        <v>9</v>
      </c>
      <c r="AX235" t="s">
        <v>74</v>
      </c>
      <c r="AY235" t="s">
        <v>74</v>
      </c>
      <c r="AZ235" t="s">
        <v>74</v>
      </c>
      <c r="BA235" t="s">
        <v>74</v>
      </c>
      <c r="BB235">
        <v>1467</v>
      </c>
      <c r="BC235">
        <v>1473</v>
      </c>
      <c r="BD235" t="s">
        <v>74</v>
      </c>
      <c r="BE235" t="s">
        <v>74</v>
      </c>
      <c r="BF235" t="s">
        <v>74</v>
      </c>
      <c r="BG235" t="s">
        <v>74</v>
      </c>
      <c r="BH235" t="s">
        <v>74</v>
      </c>
      <c r="BI235">
        <v>7</v>
      </c>
      <c r="BJ235" t="s">
        <v>3412</v>
      </c>
      <c r="BK235" t="s">
        <v>143</v>
      </c>
      <c r="BL235" t="s">
        <v>3413</v>
      </c>
      <c r="BM235" t="s">
        <v>3414</v>
      </c>
      <c r="BN235" t="s">
        <v>74</v>
      </c>
      <c r="BO235" t="s">
        <v>74</v>
      </c>
      <c r="BP235" t="s">
        <v>74</v>
      </c>
      <c r="BQ235" t="s">
        <v>74</v>
      </c>
      <c r="BR235" t="s">
        <v>99</v>
      </c>
      <c r="BS235" t="s">
        <v>3425</v>
      </c>
      <c r="BT235" t="str">
        <f>HYPERLINK("https%3A%2F%2Fwww.webofscience.com%2Fwos%2Fwoscc%2Ffull-record%2FWOS:000083077900028","View Full Record in Web of Science")</f>
        <v>View Full Record in Web of Science</v>
      </c>
    </row>
    <row r="236" spans="1:72" x14ac:dyDescent="0.15">
      <c r="A236" t="s">
        <v>72</v>
      </c>
      <c r="B236" t="s">
        <v>3426</v>
      </c>
      <c r="C236" t="s">
        <v>74</v>
      </c>
      <c r="D236" t="s">
        <v>74</v>
      </c>
      <c r="E236" t="s">
        <v>74</v>
      </c>
      <c r="F236" t="s">
        <v>3426</v>
      </c>
      <c r="G236" t="s">
        <v>74</v>
      </c>
      <c r="H236" t="s">
        <v>74</v>
      </c>
      <c r="I236" t="s">
        <v>3427</v>
      </c>
      <c r="J236" t="s">
        <v>1027</v>
      </c>
      <c r="K236" t="s">
        <v>74</v>
      </c>
      <c r="L236" t="s">
        <v>74</v>
      </c>
      <c r="M236" t="s">
        <v>77</v>
      </c>
      <c r="N236" t="s">
        <v>78</v>
      </c>
      <c r="O236" t="s">
        <v>74</v>
      </c>
      <c r="P236" t="s">
        <v>74</v>
      </c>
      <c r="Q236" t="s">
        <v>74</v>
      </c>
      <c r="R236" t="s">
        <v>74</v>
      </c>
      <c r="S236" t="s">
        <v>74</v>
      </c>
      <c r="T236" t="s">
        <v>3428</v>
      </c>
      <c r="U236" t="s">
        <v>3429</v>
      </c>
      <c r="V236" t="s">
        <v>3430</v>
      </c>
      <c r="W236" t="s">
        <v>3431</v>
      </c>
      <c r="X236" t="s">
        <v>131</v>
      </c>
      <c r="Y236" t="s">
        <v>3432</v>
      </c>
      <c r="Z236" t="s">
        <v>3433</v>
      </c>
      <c r="AA236" t="s">
        <v>74</v>
      </c>
      <c r="AB236" t="s">
        <v>3434</v>
      </c>
      <c r="AC236" t="s">
        <v>74</v>
      </c>
      <c r="AD236" t="s">
        <v>74</v>
      </c>
      <c r="AE236" t="s">
        <v>74</v>
      </c>
      <c r="AF236" t="s">
        <v>74</v>
      </c>
      <c r="AG236">
        <v>57</v>
      </c>
      <c r="AH236">
        <v>997</v>
      </c>
      <c r="AI236">
        <v>1127</v>
      </c>
      <c r="AJ236">
        <v>16</v>
      </c>
      <c r="AK236">
        <v>384</v>
      </c>
      <c r="AL236" t="s">
        <v>3435</v>
      </c>
      <c r="AM236" t="s">
        <v>998</v>
      </c>
      <c r="AN236" t="s">
        <v>999</v>
      </c>
      <c r="AO236" t="s">
        <v>1036</v>
      </c>
      <c r="AP236" t="s">
        <v>1037</v>
      </c>
      <c r="AQ236" t="s">
        <v>74</v>
      </c>
      <c r="AR236" t="s">
        <v>1038</v>
      </c>
      <c r="AS236" t="s">
        <v>1039</v>
      </c>
      <c r="AT236" t="s">
        <v>2982</v>
      </c>
      <c r="AU236">
        <v>1999</v>
      </c>
      <c r="AV236">
        <v>68</v>
      </c>
      <c r="AW236">
        <v>5</v>
      </c>
      <c r="AX236" t="s">
        <v>74</v>
      </c>
      <c r="AY236" t="s">
        <v>74</v>
      </c>
      <c r="AZ236" t="s">
        <v>74</v>
      </c>
      <c r="BA236" t="s">
        <v>74</v>
      </c>
      <c r="BB236">
        <v>893</v>
      </c>
      <c r="BC236">
        <v>905</v>
      </c>
      <c r="BD236" t="s">
        <v>74</v>
      </c>
      <c r="BE236" t="s">
        <v>3436</v>
      </c>
      <c r="BF236" t="str">
        <f>HYPERLINK("http://dx.doi.org/10.1046/j.1365-2656.1999.00337.x","http://dx.doi.org/10.1046/j.1365-2656.1999.00337.x")</f>
        <v>http://dx.doi.org/10.1046/j.1365-2656.1999.00337.x</v>
      </c>
      <c r="BG236" t="s">
        <v>74</v>
      </c>
      <c r="BH236" t="s">
        <v>74</v>
      </c>
      <c r="BI236">
        <v>13</v>
      </c>
      <c r="BJ236" t="s">
        <v>1041</v>
      </c>
      <c r="BK236" t="s">
        <v>96</v>
      </c>
      <c r="BL236" t="s">
        <v>1042</v>
      </c>
      <c r="BM236" t="s">
        <v>3437</v>
      </c>
      <c r="BN236" t="s">
        <v>74</v>
      </c>
      <c r="BO236" t="s">
        <v>250</v>
      </c>
      <c r="BP236" t="s">
        <v>74</v>
      </c>
      <c r="BQ236" t="s">
        <v>74</v>
      </c>
      <c r="BR236" t="s">
        <v>99</v>
      </c>
      <c r="BS236" t="s">
        <v>3438</v>
      </c>
      <c r="BT236" t="str">
        <f>HYPERLINK("https%3A%2F%2Fwww.webofscience.com%2Fwos%2Fwoscc%2Ffull-record%2FWOS:000082771000005","View Full Record in Web of Science")</f>
        <v>View Full Record in Web of Science</v>
      </c>
    </row>
    <row r="237" spans="1:72" x14ac:dyDescent="0.15">
      <c r="A237" t="s">
        <v>72</v>
      </c>
      <c r="B237" t="s">
        <v>3439</v>
      </c>
      <c r="C237" t="s">
        <v>74</v>
      </c>
      <c r="D237" t="s">
        <v>74</v>
      </c>
      <c r="E237" t="s">
        <v>74</v>
      </c>
      <c r="F237" t="s">
        <v>3439</v>
      </c>
      <c r="G237" t="s">
        <v>74</v>
      </c>
      <c r="H237" t="s">
        <v>74</v>
      </c>
      <c r="I237" t="s">
        <v>3440</v>
      </c>
      <c r="J237" t="s">
        <v>3441</v>
      </c>
      <c r="K237" t="s">
        <v>74</v>
      </c>
      <c r="L237" t="s">
        <v>74</v>
      </c>
      <c r="M237" t="s">
        <v>77</v>
      </c>
      <c r="N237" t="s">
        <v>78</v>
      </c>
      <c r="O237" t="s">
        <v>74</v>
      </c>
      <c r="P237" t="s">
        <v>74</v>
      </c>
      <c r="Q237" t="s">
        <v>74</v>
      </c>
      <c r="R237" t="s">
        <v>74</v>
      </c>
      <c r="S237" t="s">
        <v>74</v>
      </c>
      <c r="T237" t="s">
        <v>74</v>
      </c>
      <c r="U237" t="s">
        <v>74</v>
      </c>
      <c r="V237" t="s">
        <v>3442</v>
      </c>
      <c r="W237" t="s">
        <v>3443</v>
      </c>
      <c r="X237" t="s">
        <v>679</v>
      </c>
      <c r="Y237" t="s">
        <v>3444</v>
      </c>
      <c r="Z237" t="s">
        <v>74</v>
      </c>
      <c r="AA237" t="s">
        <v>3445</v>
      </c>
      <c r="AB237" t="s">
        <v>3446</v>
      </c>
      <c r="AC237" t="s">
        <v>74</v>
      </c>
      <c r="AD237" t="s">
        <v>74</v>
      </c>
      <c r="AE237" t="s">
        <v>74</v>
      </c>
      <c r="AF237" t="s">
        <v>74</v>
      </c>
      <c r="AG237">
        <v>11</v>
      </c>
      <c r="AH237">
        <v>17</v>
      </c>
      <c r="AI237">
        <v>23</v>
      </c>
      <c r="AJ237">
        <v>0</v>
      </c>
      <c r="AK237">
        <v>3</v>
      </c>
      <c r="AL237" t="s">
        <v>863</v>
      </c>
      <c r="AM237" t="s">
        <v>276</v>
      </c>
      <c r="AN237" t="s">
        <v>864</v>
      </c>
      <c r="AO237" t="s">
        <v>3447</v>
      </c>
      <c r="AP237" t="s">
        <v>74</v>
      </c>
      <c r="AQ237" t="s">
        <v>74</v>
      </c>
      <c r="AR237" t="s">
        <v>3448</v>
      </c>
      <c r="AS237" t="s">
        <v>3449</v>
      </c>
      <c r="AT237" t="s">
        <v>2982</v>
      </c>
      <c r="AU237">
        <v>1999</v>
      </c>
      <c r="AV237">
        <v>87</v>
      </c>
      <c r="AW237">
        <v>3</v>
      </c>
      <c r="AX237" t="s">
        <v>74</v>
      </c>
      <c r="AY237" t="s">
        <v>74</v>
      </c>
      <c r="AZ237" t="s">
        <v>74</v>
      </c>
      <c r="BA237" t="s">
        <v>74</v>
      </c>
      <c r="BB237">
        <v>366</v>
      </c>
      <c r="BC237">
        <v>370</v>
      </c>
      <c r="BD237" t="s">
        <v>74</v>
      </c>
      <c r="BE237" t="s">
        <v>3450</v>
      </c>
      <c r="BF237" t="str">
        <f>HYPERLINK("http://dx.doi.org/10.1046/j.1365-2672.1999.00827.x","http://dx.doi.org/10.1046/j.1365-2672.1999.00827.x")</f>
        <v>http://dx.doi.org/10.1046/j.1365-2672.1999.00827.x</v>
      </c>
      <c r="BG237" t="s">
        <v>74</v>
      </c>
      <c r="BH237" t="s">
        <v>74</v>
      </c>
      <c r="BI237">
        <v>5</v>
      </c>
      <c r="BJ237" t="s">
        <v>3109</v>
      </c>
      <c r="BK237" t="s">
        <v>96</v>
      </c>
      <c r="BL237" t="s">
        <v>3109</v>
      </c>
      <c r="BM237" t="s">
        <v>3451</v>
      </c>
      <c r="BN237">
        <v>10540238</v>
      </c>
      <c r="BO237" t="s">
        <v>74</v>
      </c>
      <c r="BP237" t="s">
        <v>74</v>
      </c>
      <c r="BQ237" t="s">
        <v>74</v>
      </c>
      <c r="BR237" t="s">
        <v>99</v>
      </c>
      <c r="BS237" t="s">
        <v>3452</v>
      </c>
      <c r="BT237" t="str">
        <f>HYPERLINK("https%3A%2F%2Fwww.webofscience.com%2Fwos%2Fwoscc%2Ffull-record%2FWOS:000083072900007","View Full Record in Web of Science")</f>
        <v>View Full Record in Web of Science</v>
      </c>
    </row>
    <row r="238" spans="1:72" x14ac:dyDescent="0.15">
      <c r="A238" t="s">
        <v>72</v>
      </c>
      <c r="B238" t="s">
        <v>3453</v>
      </c>
      <c r="C238" t="s">
        <v>74</v>
      </c>
      <c r="D238" t="s">
        <v>74</v>
      </c>
      <c r="E238" t="s">
        <v>74</v>
      </c>
      <c r="F238" t="s">
        <v>3453</v>
      </c>
      <c r="G238" t="s">
        <v>74</v>
      </c>
      <c r="H238" t="s">
        <v>74</v>
      </c>
      <c r="I238" t="s">
        <v>3454</v>
      </c>
      <c r="J238" t="s">
        <v>3455</v>
      </c>
      <c r="K238" t="s">
        <v>74</v>
      </c>
      <c r="L238" t="s">
        <v>74</v>
      </c>
      <c r="M238" t="s">
        <v>77</v>
      </c>
      <c r="N238" t="s">
        <v>78</v>
      </c>
      <c r="O238" t="s">
        <v>74</v>
      </c>
      <c r="P238" t="s">
        <v>74</v>
      </c>
      <c r="Q238" t="s">
        <v>74</v>
      </c>
      <c r="R238" t="s">
        <v>74</v>
      </c>
      <c r="S238" t="s">
        <v>74</v>
      </c>
      <c r="T238" t="s">
        <v>74</v>
      </c>
      <c r="U238" t="s">
        <v>3456</v>
      </c>
      <c r="V238" t="s">
        <v>3457</v>
      </c>
      <c r="W238" t="s">
        <v>3458</v>
      </c>
      <c r="X238" t="s">
        <v>3459</v>
      </c>
      <c r="Y238" t="s">
        <v>3460</v>
      </c>
      <c r="Z238" t="s">
        <v>74</v>
      </c>
      <c r="AA238" t="s">
        <v>74</v>
      </c>
      <c r="AB238" t="s">
        <v>74</v>
      </c>
      <c r="AC238" t="s">
        <v>74</v>
      </c>
      <c r="AD238" t="s">
        <v>74</v>
      </c>
      <c r="AE238" t="s">
        <v>74</v>
      </c>
      <c r="AF238" t="s">
        <v>74</v>
      </c>
      <c r="AG238">
        <v>36</v>
      </c>
      <c r="AH238">
        <v>26</v>
      </c>
      <c r="AI238">
        <v>30</v>
      </c>
      <c r="AJ238">
        <v>0</v>
      </c>
      <c r="AK238">
        <v>2</v>
      </c>
      <c r="AL238" t="s">
        <v>275</v>
      </c>
      <c r="AM238" t="s">
        <v>276</v>
      </c>
      <c r="AN238" t="s">
        <v>277</v>
      </c>
      <c r="AO238" t="s">
        <v>3461</v>
      </c>
      <c r="AP238" t="s">
        <v>74</v>
      </c>
      <c r="AQ238" t="s">
        <v>74</v>
      </c>
      <c r="AR238" t="s">
        <v>3462</v>
      </c>
      <c r="AS238" t="s">
        <v>3463</v>
      </c>
      <c r="AT238" t="s">
        <v>2982</v>
      </c>
      <c r="AU238">
        <v>1999</v>
      </c>
      <c r="AV238">
        <v>61</v>
      </c>
      <c r="AW238">
        <v>14</v>
      </c>
      <c r="AX238" t="s">
        <v>74</v>
      </c>
      <c r="AY238" t="s">
        <v>74</v>
      </c>
      <c r="AZ238" t="s">
        <v>74</v>
      </c>
      <c r="BA238" t="s">
        <v>74</v>
      </c>
      <c r="BB238">
        <v>1025</v>
      </c>
      <c r="BC238">
        <v>1045</v>
      </c>
      <c r="BD238" t="s">
        <v>74</v>
      </c>
      <c r="BE238" t="s">
        <v>3464</v>
      </c>
      <c r="BF238" t="str">
        <f>HYPERLINK("http://dx.doi.org/10.1016/S1364-6826(99)00059-0","http://dx.doi.org/10.1016/S1364-6826(99)00059-0")</f>
        <v>http://dx.doi.org/10.1016/S1364-6826(99)00059-0</v>
      </c>
      <c r="BG238" t="s">
        <v>74</v>
      </c>
      <c r="BH238" t="s">
        <v>74</v>
      </c>
      <c r="BI238">
        <v>21</v>
      </c>
      <c r="BJ238" t="s">
        <v>3465</v>
      </c>
      <c r="BK238" t="s">
        <v>96</v>
      </c>
      <c r="BL238" t="s">
        <v>3465</v>
      </c>
      <c r="BM238" t="s">
        <v>3466</v>
      </c>
      <c r="BN238" t="s">
        <v>74</v>
      </c>
      <c r="BO238" t="s">
        <v>74</v>
      </c>
      <c r="BP238" t="s">
        <v>74</v>
      </c>
      <c r="BQ238" t="s">
        <v>74</v>
      </c>
      <c r="BR238" t="s">
        <v>99</v>
      </c>
      <c r="BS238" t="s">
        <v>3467</v>
      </c>
      <c r="BT238" t="str">
        <f>HYPERLINK("https%3A%2F%2Fwww.webofscience.com%2Fwos%2Fwoscc%2Ffull-record%2FWOS:000084518900002","View Full Record in Web of Science")</f>
        <v>View Full Record in Web of Science</v>
      </c>
    </row>
    <row r="239" spans="1:72" x14ac:dyDescent="0.15">
      <c r="A239" t="s">
        <v>72</v>
      </c>
      <c r="B239" t="s">
        <v>3468</v>
      </c>
      <c r="C239" t="s">
        <v>74</v>
      </c>
      <c r="D239" t="s">
        <v>74</v>
      </c>
      <c r="E239" t="s">
        <v>74</v>
      </c>
      <c r="F239" t="s">
        <v>3468</v>
      </c>
      <c r="G239" t="s">
        <v>74</v>
      </c>
      <c r="H239" t="s">
        <v>74</v>
      </c>
      <c r="I239" t="s">
        <v>3469</v>
      </c>
      <c r="J239" t="s">
        <v>3455</v>
      </c>
      <c r="K239" t="s">
        <v>74</v>
      </c>
      <c r="L239" t="s">
        <v>74</v>
      </c>
      <c r="M239" t="s">
        <v>77</v>
      </c>
      <c r="N239" t="s">
        <v>78</v>
      </c>
      <c r="O239" t="s">
        <v>74</v>
      </c>
      <c r="P239" t="s">
        <v>74</v>
      </c>
      <c r="Q239" t="s">
        <v>74</v>
      </c>
      <c r="R239" t="s">
        <v>74</v>
      </c>
      <c r="S239" t="s">
        <v>74</v>
      </c>
      <c r="T239" t="s">
        <v>74</v>
      </c>
      <c r="U239" t="s">
        <v>3470</v>
      </c>
      <c r="V239" t="s">
        <v>3471</v>
      </c>
      <c r="W239" t="s">
        <v>3472</v>
      </c>
      <c r="X239" t="s">
        <v>3459</v>
      </c>
      <c r="Y239" t="s">
        <v>3460</v>
      </c>
      <c r="Z239" t="s">
        <v>74</v>
      </c>
      <c r="AA239" t="s">
        <v>74</v>
      </c>
      <c r="AB239" t="s">
        <v>74</v>
      </c>
      <c r="AC239" t="s">
        <v>74</v>
      </c>
      <c r="AD239" t="s">
        <v>74</v>
      </c>
      <c r="AE239" t="s">
        <v>74</v>
      </c>
      <c r="AF239" t="s">
        <v>74</v>
      </c>
      <c r="AG239">
        <v>16</v>
      </c>
      <c r="AH239">
        <v>23</v>
      </c>
      <c r="AI239">
        <v>25</v>
      </c>
      <c r="AJ239">
        <v>0</v>
      </c>
      <c r="AK239">
        <v>0</v>
      </c>
      <c r="AL239" t="s">
        <v>275</v>
      </c>
      <c r="AM239" t="s">
        <v>276</v>
      </c>
      <c r="AN239" t="s">
        <v>277</v>
      </c>
      <c r="AO239" t="s">
        <v>3461</v>
      </c>
      <c r="AP239" t="s">
        <v>74</v>
      </c>
      <c r="AQ239" t="s">
        <v>74</v>
      </c>
      <c r="AR239" t="s">
        <v>3462</v>
      </c>
      <c r="AS239" t="s">
        <v>3463</v>
      </c>
      <c r="AT239" t="s">
        <v>2982</v>
      </c>
      <c r="AU239">
        <v>1999</v>
      </c>
      <c r="AV239">
        <v>61</v>
      </c>
      <c r="AW239">
        <v>14</v>
      </c>
      <c r="AX239" t="s">
        <v>74</v>
      </c>
      <c r="AY239" t="s">
        <v>74</v>
      </c>
      <c r="AZ239" t="s">
        <v>74</v>
      </c>
      <c r="BA239" t="s">
        <v>74</v>
      </c>
      <c r="BB239">
        <v>1047</v>
      </c>
      <c r="BC239">
        <v>1058</v>
      </c>
      <c r="BD239" t="s">
        <v>74</v>
      </c>
      <c r="BE239" t="s">
        <v>3473</v>
      </c>
      <c r="BF239" t="str">
        <f>HYPERLINK("http://dx.doi.org/10.1016/S1364-6826(99)00060-7","http://dx.doi.org/10.1016/S1364-6826(99)00060-7")</f>
        <v>http://dx.doi.org/10.1016/S1364-6826(99)00060-7</v>
      </c>
      <c r="BG239" t="s">
        <v>74</v>
      </c>
      <c r="BH239" t="s">
        <v>74</v>
      </c>
      <c r="BI239">
        <v>12</v>
      </c>
      <c r="BJ239" t="s">
        <v>3465</v>
      </c>
      <c r="BK239" t="s">
        <v>96</v>
      </c>
      <c r="BL239" t="s">
        <v>3465</v>
      </c>
      <c r="BM239" t="s">
        <v>3466</v>
      </c>
      <c r="BN239" t="s">
        <v>74</v>
      </c>
      <c r="BO239" t="s">
        <v>74</v>
      </c>
      <c r="BP239" t="s">
        <v>74</v>
      </c>
      <c r="BQ239" t="s">
        <v>74</v>
      </c>
      <c r="BR239" t="s">
        <v>99</v>
      </c>
      <c r="BS239" t="s">
        <v>3474</v>
      </c>
      <c r="BT239" t="str">
        <f>HYPERLINK("https%3A%2F%2Fwww.webofscience.com%2Fwos%2Fwoscc%2Ffull-record%2FWOS:000084518900003","View Full Record in Web of Science")</f>
        <v>View Full Record in Web of Science</v>
      </c>
    </row>
    <row r="240" spans="1:72" x14ac:dyDescent="0.15">
      <c r="A240" t="s">
        <v>72</v>
      </c>
      <c r="B240" t="s">
        <v>3475</v>
      </c>
      <c r="C240" t="s">
        <v>74</v>
      </c>
      <c r="D240" t="s">
        <v>74</v>
      </c>
      <c r="E240" t="s">
        <v>74</v>
      </c>
      <c r="F240" t="s">
        <v>3475</v>
      </c>
      <c r="G240" t="s">
        <v>74</v>
      </c>
      <c r="H240" t="s">
        <v>74</v>
      </c>
      <c r="I240" t="s">
        <v>3476</v>
      </c>
      <c r="J240" t="s">
        <v>1047</v>
      </c>
      <c r="K240" t="s">
        <v>74</v>
      </c>
      <c r="L240" t="s">
        <v>74</v>
      </c>
      <c r="M240" t="s">
        <v>77</v>
      </c>
      <c r="N240" t="s">
        <v>78</v>
      </c>
      <c r="O240" t="s">
        <v>74</v>
      </c>
      <c r="P240" t="s">
        <v>74</v>
      </c>
      <c r="Q240" t="s">
        <v>74</v>
      </c>
      <c r="R240" t="s">
        <v>74</v>
      </c>
      <c r="S240" t="s">
        <v>74</v>
      </c>
      <c r="T240" t="s">
        <v>3477</v>
      </c>
      <c r="U240" t="s">
        <v>3478</v>
      </c>
      <c r="V240" t="s">
        <v>3479</v>
      </c>
      <c r="W240" t="s">
        <v>3480</v>
      </c>
      <c r="X240" t="s">
        <v>3481</v>
      </c>
      <c r="Y240" t="s">
        <v>3482</v>
      </c>
      <c r="Z240" t="s">
        <v>3483</v>
      </c>
      <c r="AA240" t="s">
        <v>74</v>
      </c>
      <c r="AB240" t="s">
        <v>74</v>
      </c>
      <c r="AC240" t="s">
        <v>74</v>
      </c>
      <c r="AD240" t="s">
        <v>74</v>
      </c>
      <c r="AE240" t="s">
        <v>74</v>
      </c>
      <c r="AF240" t="s">
        <v>74</v>
      </c>
      <c r="AG240">
        <v>74</v>
      </c>
      <c r="AH240">
        <v>70</v>
      </c>
      <c r="AI240">
        <v>78</v>
      </c>
      <c r="AJ240">
        <v>3</v>
      </c>
      <c r="AK240">
        <v>19</v>
      </c>
      <c r="AL240" t="s">
        <v>997</v>
      </c>
      <c r="AM240" t="s">
        <v>998</v>
      </c>
      <c r="AN240" t="s">
        <v>999</v>
      </c>
      <c r="AO240" t="s">
        <v>1054</v>
      </c>
      <c r="AP240" t="s">
        <v>3484</v>
      </c>
      <c r="AQ240" t="s">
        <v>74</v>
      </c>
      <c r="AR240" t="s">
        <v>1055</v>
      </c>
      <c r="AS240" t="s">
        <v>1056</v>
      </c>
      <c r="AT240" t="s">
        <v>2982</v>
      </c>
      <c r="AU240">
        <v>1999</v>
      </c>
      <c r="AV240">
        <v>26</v>
      </c>
      <c r="AW240">
        <v>5</v>
      </c>
      <c r="AX240" t="s">
        <v>74</v>
      </c>
      <c r="AY240" t="s">
        <v>74</v>
      </c>
      <c r="AZ240" t="s">
        <v>74</v>
      </c>
      <c r="BA240" t="s">
        <v>74</v>
      </c>
      <c r="BB240">
        <v>993</v>
      </c>
      <c r="BC240">
        <v>1000</v>
      </c>
      <c r="BD240" t="s">
        <v>74</v>
      </c>
      <c r="BE240" t="s">
        <v>3485</v>
      </c>
      <c r="BF240" t="str">
        <f>HYPERLINK("http://dx.doi.org/10.1046/j.1365-2699.1999.00358.x","http://dx.doi.org/10.1046/j.1365-2699.1999.00358.x")</f>
        <v>http://dx.doi.org/10.1046/j.1365-2699.1999.00358.x</v>
      </c>
      <c r="BG240" t="s">
        <v>74</v>
      </c>
      <c r="BH240" t="s">
        <v>74</v>
      </c>
      <c r="BI240">
        <v>8</v>
      </c>
      <c r="BJ240" t="s">
        <v>1058</v>
      </c>
      <c r="BK240" t="s">
        <v>96</v>
      </c>
      <c r="BL240" t="s">
        <v>597</v>
      </c>
      <c r="BM240" t="s">
        <v>3486</v>
      </c>
      <c r="BN240" t="s">
        <v>74</v>
      </c>
      <c r="BO240" t="s">
        <v>74</v>
      </c>
      <c r="BP240" t="s">
        <v>74</v>
      </c>
      <c r="BQ240" t="s">
        <v>74</v>
      </c>
      <c r="BR240" t="s">
        <v>99</v>
      </c>
      <c r="BS240" t="s">
        <v>3487</v>
      </c>
      <c r="BT240" t="str">
        <f>HYPERLINK("https%3A%2F%2Fwww.webofscience.com%2Fwos%2Fwoscc%2Ffull-record%2FWOS:000084988000006","View Full Record in Web of Science")</f>
        <v>View Full Record in Web of Science</v>
      </c>
    </row>
    <row r="241" spans="1:72" x14ac:dyDescent="0.15">
      <c r="A241" t="s">
        <v>72</v>
      </c>
      <c r="B241" t="s">
        <v>3488</v>
      </c>
      <c r="C241" t="s">
        <v>74</v>
      </c>
      <c r="D241" t="s">
        <v>74</v>
      </c>
      <c r="E241" t="s">
        <v>74</v>
      </c>
      <c r="F241" t="s">
        <v>3488</v>
      </c>
      <c r="G241" t="s">
        <v>74</v>
      </c>
      <c r="H241" t="s">
        <v>74</v>
      </c>
      <c r="I241" t="s">
        <v>3489</v>
      </c>
      <c r="J241" t="s">
        <v>3490</v>
      </c>
      <c r="K241" t="s">
        <v>74</v>
      </c>
      <c r="L241" t="s">
        <v>74</v>
      </c>
      <c r="M241" t="s">
        <v>77</v>
      </c>
      <c r="N241" t="s">
        <v>78</v>
      </c>
      <c r="O241" t="s">
        <v>74</v>
      </c>
      <c r="P241" t="s">
        <v>74</v>
      </c>
      <c r="Q241" t="s">
        <v>74</v>
      </c>
      <c r="R241" t="s">
        <v>74</v>
      </c>
      <c r="S241" t="s">
        <v>74</v>
      </c>
      <c r="T241" t="s">
        <v>3491</v>
      </c>
      <c r="U241" t="s">
        <v>3492</v>
      </c>
      <c r="V241" t="s">
        <v>3493</v>
      </c>
      <c r="W241" t="s">
        <v>3494</v>
      </c>
      <c r="X241" t="s">
        <v>3495</v>
      </c>
      <c r="Y241" t="s">
        <v>3496</v>
      </c>
      <c r="Z241" t="s">
        <v>74</v>
      </c>
      <c r="AA241" t="s">
        <v>3497</v>
      </c>
      <c r="AB241" t="s">
        <v>3498</v>
      </c>
      <c r="AC241" t="s">
        <v>74</v>
      </c>
      <c r="AD241" t="s">
        <v>74</v>
      </c>
      <c r="AE241" t="s">
        <v>74</v>
      </c>
      <c r="AF241" t="s">
        <v>74</v>
      </c>
      <c r="AG241">
        <v>34</v>
      </c>
      <c r="AH241">
        <v>85</v>
      </c>
      <c r="AI241">
        <v>96</v>
      </c>
      <c r="AJ241">
        <v>0</v>
      </c>
      <c r="AK241">
        <v>26</v>
      </c>
      <c r="AL241" t="s">
        <v>553</v>
      </c>
      <c r="AM241" t="s">
        <v>554</v>
      </c>
      <c r="AN241" t="s">
        <v>555</v>
      </c>
      <c r="AO241" t="s">
        <v>3499</v>
      </c>
      <c r="AP241" t="s">
        <v>74</v>
      </c>
      <c r="AQ241" t="s">
        <v>74</v>
      </c>
      <c r="AR241" t="s">
        <v>3500</v>
      </c>
      <c r="AS241" t="s">
        <v>3501</v>
      </c>
      <c r="AT241" t="s">
        <v>2982</v>
      </c>
      <c r="AU241">
        <v>1999</v>
      </c>
      <c r="AV241">
        <v>169</v>
      </c>
      <c r="AW241">
        <v>6</v>
      </c>
      <c r="AX241" t="s">
        <v>74</v>
      </c>
      <c r="AY241" t="s">
        <v>74</v>
      </c>
      <c r="AZ241" t="s">
        <v>74</v>
      </c>
      <c r="BA241" t="s">
        <v>74</v>
      </c>
      <c r="BB241">
        <v>445</v>
      </c>
      <c r="BC241">
        <v>451</v>
      </c>
      <c r="BD241" t="s">
        <v>74</v>
      </c>
      <c r="BE241" t="s">
        <v>3502</v>
      </c>
      <c r="BF241" t="str">
        <f>HYPERLINK("http://dx.doi.org/10.1007/s003600050241","http://dx.doi.org/10.1007/s003600050241")</f>
        <v>http://dx.doi.org/10.1007/s003600050241</v>
      </c>
      <c r="BG241" t="s">
        <v>74</v>
      </c>
      <c r="BH241" t="s">
        <v>74</v>
      </c>
      <c r="BI241">
        <v>7</v>
      </c>
      <c r="BJ241" t="s">
        <v>3503</v>
      </c>
      <c r="BK241" t="s">
        <v>96</v>
      </c>
      <c r="BL241" t="s">
        <v>3503</v>
      </c>
      <c r="BM241" t="s">
        <v>3504</v>
      </c>
      <c r="BN241">
        <v>10549144</v>
      </c>
      <c r="BO241" t="s">
        <v>74</v>
      </c>
      <c r="BP241" t="s">
        <v>74</v>
      </c>
      <c r="BQ241" t="s">
        <v>74</v>
      </c>
      <c r="BR241" t="s">
        <v>99</v>
      </c>
      <c r="BS241" t="s">
        <v>3505</v>
      </c>
      <c r="BT241" t="str">
        <f>HYPERLINK("https%3A%2F%2Fwww.webofscience.com%2Fwos%2Fwoscc%2Ffull-record%2FWOS:000083089500010","View Full Record in Web of Science")</f>
        <v>View Full Record in Web of Science</v>
      </c>
    </row>
    <row r="242" spans="1:72" x14ac:dyDescent="0.15">
      <c r="A242" t="s">
        <v>72</v>
      </c>
      <c r="B242" t="s">
        <v>3506</v>
      </c>
      <c r="C242" t="s">
        <v>74</v>
      </c>
      <c r="D242" t="s">
        <v>74</v>
      </c>
      <c r="E242" t="s">
        <v>74</v>
      </c>
      <c r="F242" t="s">
        <v>3506</v>
      </c>
      <c r="G242" t="s">
        <v>74</v>
      </c>
      <c r="H242" t="s">
        <v>74</v>
      </c>
      <c r="I242" t="s">
        <v>3507</v>
      </c>
      <c r="J242" t="s">
        <v>3508</v>
      </c>
      <c r="K242" t="s">
        <v>74</v>
      </c>
      <c r="L242" t="s">
        <v>74</v>
      </c>
      <c r="M242" t="s">
        <v>77</v>
      </c>
      <c r="N242" t="s">
        <v>78</v>
      </c>
      <c r="O242" t="s">
        <v>74</v>
      </c>
      <c r="P242" t="s">
        <v>74</v>
      </c>
      <c r="Q242" t="s">
        <v>74</v>
      </c>
      <c r="R242" t="s">
        <v>74</v>
      </c>
      <c r="S242" t="s">
        <v>74</v>
      </c>
      <c r="T242" t="s">
        <v>3509</v>
      </c>
      <c r="U242" t="s">
        <v>3510</v>
      </c>
      <c r="V242" t="s">
        <v>3511</v>
      </c>
      <c r="W242" t="s">
        <v>3512</v>
      </c>
      <c r="X242" t="s">
        <v>3513</v>
      </c>
      <c r="Y242" t="s">
        <v>3514</v>
      </c>
      <c r="Z242" t="s">
        <v>74</v>
      </c>
      <c r="AA242" t="s">
        <v>3515</v>
      </c>
      <c r="AB242" t="s">
        <v>74</v>
      </c>
      <c r="AC242" t="s">
        <v>74</v>
      </c>
      <c r="AD242" t="s">
        <v>74</v>
      </c>
      <c r="AE242" t="s">
        <v>74</v>
      </c>
      <c r="AF242" t="s">
        <v>74</v>
      </c>
      <c r="AG242">
        <v>33</v>
      </c>
      <c r="AH242">
        <v>22</v>
      </c>
      <c r="AI242">
        <v>23</v>
      </c>
      <c r="AJ242">
        <v>0</v>
      </c>
      <c r="AK242">
        <v>6</v>
      </c>
      <c r="AL242" t="s">
        <v>3516</v>
      </c>
      <c r="AM242" t="s">
        <v>2505</v>
      </c>
      <c r="AN242" t="s">
        <v>3517</v>
      </c>
      <c r="AO242" t="s">
        <v>3518</v>
      </c>
      <c r="AP242" t="s">
        <v>74</v>
      </c>
      <c r="AQ242" t="s">
        <v>74</v>
      </c>
      <c r="AR242" t="s">
        <v>3519</v>
      </c>
      <c r="AS242" t="s">
        <v>3520</v>
      </c>
      <c r="AT242" t="s">
        <v>2982</v>
      </c>
      <c r="AU242">
        <v>1999</v>
      </c>
      <c r="AV242">
        <v>202</v>
      </c>
      <c r="AW242">
        <v>17</v>
      </c>
      <c r="AX242" t="s">
        <v>74</v>
      </c>
      <c r="AY242" t="s">
        <v>74</v>
      </c>
      <c r="AZ242" t="s">
        <v>74</v>
      </c>
      <c r="BA242" t="s">
        <v>74</v>
      </c>
      <c r="BB242">
        <v>2259</v>
      </c>
      <c r="BC242">
        <v>2267</v>
      </c>
      <c r="BD242" t="s">
        <v>74</v>
      </c>
      <c r="BE242" t="s">
        <v>74</v>
      </c>
      <c r="BF242" t="s">
        <v>74</v>
      </c>
      <c r="BG242" t="s">
        <v>74</v>
      </c>
      <c r="BH242" t="s">
        <v>74</v>
      </c>
      <c r="BI242">
        <v>9</v>
      </c>
      <c r="BJ242" t="s">
        <v>3521</v>
      </c>
      <c r="BK242" t="s">
        <v>96</v>
      </c>
      <c r="BL242" t="s">
        <v>3522</v>
      </c>
      <c r="BM242" t="s">
        <v>3523</v>
      </c>
      <c r="BN242">
        <v>10441079</v>
      </c>
      <c r="BO242" t="s">
        <v>74</v>
      </c>
      <c r="BP242" t="s">
        <v>74</v>
      </c>
      <c r="BQ242" t="s">
        <v>74</v>
      </c>
      <c r="BR242" t="s">
        <v>99</v>
      </c>
      <c r="BS242" t="s">
        <v>3524</v>
      </c>
      <c r="BT242" t="str">
        <f>HYPERLINK("https%3A%2F%2Fwww.webofscience.com%2Fwos%2Fwoscc%2Ffull-record%2FWOS:000082615100003","View Full Record in Web of Science")</f>
        <v>View Full Record in Web of Science</v>
      </c>
    </row>
    <row r="243" spans="1:72" x14ac:dyDescent="0.15">
      <c r="A243" t="s">
        <v>72</v>
      </c>
      <c r="B243" t="s">
        <v>3525</v>
      </c>
      <c r="C243" t="s">
        <v>74</v>
      </c>
      <c r="D243" t="s">
        <v>74</v>
      </c>
      <c r="E243" t="s">
        <v>74</v>
      </c>
      <c r="F243" t="s">
        <v>3525</v>
      </c>
      <c r="G243" t="s">
        <v>74</v>
      </c>
      <c r="H243" t="s">
        <v>74</v>
      </c>
      <c r="I243" t="s">
        <v>3526</v>
      </c>
      <c r="J243" t="s">
        <v>1063</v>
      </c>
      <c r="K243" t="s">
        <v>74</v>
      </c>
      <c r="L243" t="s">
        <v>74</v>
      </c>
      <c r="M243" t="s">
        <v>77</v>
      </c>
      <c r="N243" t="s">
        <v>78</v>
      </c>
      <c r="O243" t="s">
        <v>74</v>
      </c>
      <c r="P243" t="s">
        <v>74</v>
      </c>
      <c r="Q243" t="s">
        <v>74</v>
      </c>
      <c r="R243" t="s">
        <v>74</v>
      </c>
      <c r="S243" t="s">
        <v>74</v>
      </c>
      <c r="T243" t="s">
        <v>74</v>
      </c>
      <c r="U243" t="s">
        <v>3527</v>
      </c>
      <c r="V243" t="s">
        <v>3528</v>
      </c>
      <c r="W243" t="s">
        <v>3529</v>
      </c>
      <c r="X243" t="s">
        <v>3530</v>
      </c>
      <c r="Y243" t="s">
        <v>3531</v>
      </c>
      <c r="Z243" t="s">
        <v>3532</v>
      </c>
      <c r="AA243" t="s">
        <v>74</v>
      </c>
      <c r="AB243" t="s">
        <v>74</v>
      </c>
      <c r="AC243" t="s">
        <v>74</v>
      </c>
      <c r="AD243" t="s">
        <v>74</v>
      </c>
      <c r="AE243" t="s">
        <v>74</v>
      </c>
      <c r="AF243" t="s">
        <v>74</v>
      </c>
      <c r="AG243">
        <v>17</v>
      </c>
      <c r="AH243">
        <v>14</v>
      </c>
      <c r="AI243">
        <v>14</v>
      </c>
      <c r="AJ243">
        <v>0</v>
      </c>
      <c r="AK243">
        <v>2</v>
      </c>
      <c r="AL243" t="s">
        <v>230</v>
      </c>
      <c r="AM243" t="s">
        <v>231</v>
      </c>
      <c r="AN243" t="s">
        <v>232</v>
      </c>
      <c r="AO243" t="s">
        <v>1070</v>
      </c>
      <c r="AP243" t="s">
        <v>1071</v>
      </c>
      <c r="AQ243" t="s">
        <v>74</v>
      </c>
      <c r="AR243" t="s">
        <v>1072</v>
      </c>
      <c r="AS243" t="s">
        <v>1073</v>
      </c>
      <c r="AT243" t="s">
        <v>3533</v>
      </c>
      <c r="AU243">
        <v>1999</v>
      </c>
      <c r="AV243">
        <v>104</v>
      </c>
      <c r="AW243" t="s">
        <v>3534</v>
      </c>
      <c r="AX243" t="s">
        <v>74</v>
      </c>
      <c r="AY243" t="s">
        <v>74</v>
      </c>
      <c r="AZ243" t="s">
        <v>74</v>
      </c>
      <c r="BA243" t="s">
        <v>74</v>
      </c>
      <c r="BB243">
        <v>19881</v>
      </c>
      <c r="BC243">
        <v>19887</v>
      </c>
      <c r="BD243" t="s">
        <v>74</v>
      </c>
      <c r="BE243" t="s">
        <v>3535</v>
      </c>
      <c r="BF243" t="str">
        <f>HYPERLINK("http://dx.doi.org/10.1029/1999JA900108","http://dx.doi.org/10.1029/1999JA900108")</f>
        <v>http://dx.doi.org/10.1029/1999JA900108</v>
      </c>
      <c r="BG243" t="s">
        <v>74</v>
      </c>
      <c r="BH243" t="s">
        <v>74</v>
      </c>
      <c r="BI243">
        <v>7</v>
      </c>
      <c r="BJ243" t="s">
        <v>1076</v>
      </c>
      <c r="BK243" t="s">
        <v>96</v>
      </c>
      <c r="BL243" t="s">
        <v>1076</v>
      </c>
      <c r="BM243" t="s">
        <v>3536</v>
      </c>
      <c r="BN243" t="s">
        <v>74</v>
      </c>
      <c r="BO243" t="s">
        <v>250</v>
      </c>
      <c r="BP243" t="s">
        <v>74</v>
      </c>
      <c r="BQ243" t="s">
        <v>74</v>
      </c>
      <c r="BR243" t="s">
        <v>99</v>
      </c>
      <c r="BS243" t="s">
        <v>3537</v>
      </c>
      <c r="BT243" t="str">
        <f>HYPERLINK("https%3A%2F%2Fwww.webofscience.com%2Fwos%2Fwoscc%2Ffull-record%2FWOS:000082360100013","View Full Record in Web of Science")</f>
        <v>View Full Record in Web of Science</v>
      </c>
    </row>
    <row r="244" spans="1:72" x14ac:dyDescent="0.15">
      <c r="A244" t="s">
        <v>72</v>
      </c>
      <c r="B244" t="s">
        <v>3538</v>
      </c>
      <c r="C244" t="s">
        <v>74</v>
      </c>
      <c r="D244" t="s">
        <v>74</v>
      </c>
      <c r="E244" t="s">
        <v>74</v>
      </c>
      <c r="F244" t="s">
        <v>3538</v>
      </c>
      <c r="G244" t="s">
        <v>74</v>
      </c>
      <c r="H244" t="s">
        <v>74</v>
      </c>
      <c r="I244" t="s">
        <v>3539</v>
      </c>
      <c r="J244" t="s">
        <v>1063</v>
      </c>
      <c r="K244" t="s">
        <v>74</v>
      </c>
      <c r="L244" t="s">
        <v>74</v>
      </c>
      <c r="M244" t="s">
        <v>77</v>
      </c>
      <c r="N244" t="s">
        <v>78</v>
      </c>
      <c r="O244" t="s">
        <v>74</v>
      </c>
      <c r="P244" t="s">
        <v>74</v>
      </c>
      <c r="Q244" t="s">
        <v>74</v>
      </c>
      <c r="R244" t="s">
        <v>74</v>
      </c>
      <c r="S244" t="s">
        <v>74</v>
      </c>
      <c r="T244" t="s">
        <v>74</v>
      </c>
      <c r="U244" t="s">
        <v>3540</v>
      </c>
      <c r="V244" t="s">
        <v>3541</v>
      </c>
      <c r="W244" t="s">
        <v>3542</v>
      </c>
      <c r="X244" t="s">
        <v>3543</v>
      </c>
      <c r="Y244" t="s">
        <v>3544</v>
      </c>
      <c r="Z244" t="s">
        <v>3545</v>
      </c>
      <c r="AA244" t="s">
        <v>3546</v>
      </c>
      <c r="AB244" t="s">
        <v>3547</v>
      </c>
      <c r="AC244" t="s">
        <v>74</v>
      </c>
      <c r="AD244" t="s">
        <v>74</v>
      </c>
      <c r="AE244" t="s">
        <v>74</v>
      </c>
      <c r="AF244" t="s">
        <v>74</v>
      </c>
      <c r="AG244">
        <v>63</v>
      </c>
      <c r="AH244">
        <v>103</v>
      </c>
      <c r="AI244">
        <v>106</v>
      </c>
      <c r="AJ244">
        <v>0</v>
      </c>
      <c r="AK244">
        <v>4</v>
      </c>
      <c r="AL244" t="s">
        <v>230</v>
      </c>
      <c r="AM244" t="s">
        <v>231</v>
      </c>
      <c r="AN244" t="s">
        <v>232</v>
      </c>
      <c r="AO244" t="s">
        <v>1070</v>
      </c>
      <c r="AP244" t="s">
        <v>1071</v>
      </c>
      <c r="AQ244" t="s">
        <v>74</v>
      </c>
      <c r="AR244" t="s">
        <v>1072</v>
      </c>
      <c r="AS244" t="s">
        <v>1073</v>
      </c>
      <c r="AT244" t="s">
        <v>3533</v>
      </c>
      <c r="AU244">
        <v>1999</v>
      </c>
      <c r="AV244">
        <v>104</v>
      </c>
      <c r="AW244" t="s">
        <v>3534</v>
      </c>
      <c r="AX244" t="s">
        <v>74</v>
      </c>
      <c r="AY244" t="s">
        <v>74</v>
      </c>
      <c r="AZ244" t="s">
        <v>74</v>
      </c>
      <c r="BA244" t="s">
        <v>74</v>
      </c>
      <c r="BB244">
        <v>19955</v>
      </c>
      <c r="BC244">
        <v>19969</v>
      </c>
      <c r="BD244" t="s">
        <v>74</v>
      </c>
      <c r="BE244" t="s">
        <v>3548</v>
      </c>
      <c r="BF244" t="str">
        <f>HYPERLINK("http://dx.doi.org/10.1029/1999JA900205","http://dx.doi.org/10.1029/1999JA900205")</f>
        <v>http://dx.doi.org/10.1029/1999JA900205</v>
      </c>
      <c r="BG244" t="s">
        <v>74</v>
      </c>
      <c r="BH244" t="s">
        <v>74</v>
      </c>
      <c r="BI244">
        <v>15</v>
      </c>
      <c r="BJ244" t="s">
        <v>1076</v>
      </c>
      <c r="BK244" t="s">
        <v>96</v>
      </c>
      <c r="BL244" t="s">
        <v>1076</v>
      </c>
      <c r="BM244" t="s">
        <v>3536</v>
      </c>
      <c r="BN244" t="s">
        <v>74</v>
      </c>
      <c r="BO244" t="s">
        <v>610</v>
      </c>
      <c r="BP244" t="s">
        <v>74</v>
      </c>
      <c r="BQ244" t="s">
        <v>74</v>
      </c>
      <c r="BR244" t="s">
        <v>99</v>
      </c>
      <c r="BS244" t="s">
        <v>3549</v>
      </c>
      <c r="BT244" t="str">
        <f>HYPERLINK("https%3A%2F%2Fwww.webofscience.com%2Fwos%2Fwoscc%2Ffull-record%2FWOS:000082360100021","View Full Record in Web of Science")</f>
        <v>View Full Record in Web of Science</v>
      </c>
    </row>
    <row r="245" spans="1:72" x14ac:dyDescent="0.15">
      <c r="A245" t="s">
        <v>72</v>
      </c>
      <c r="B245" t="s">
        <v>3550</v>
      </c>
      <c r="C245" t="s">
        <v>74</v>
      </c>
      <c r="D245" t="s">
        <v>74</v>
      </c>
      <c r="E245" t="s">
        <v>74</v>
      </c>
      <c r="F245" t="s">
        <v>3550</v>
      </c>
      <c r="G245" t="s">
        <v>74</v>
      </c>
      <c r="H245" t="s">
        <v>74</v>
      </c>
      <c r="I245" t="s">
        <v>3551</v>
      </c>
      <c r="J245" t="s">
        <v>1100</v>
      </c>
      <c r="K245" t="s">
        <v>74</v>
      </c>
      <c r="L245" t="s">
        <v>74</v>
      </c>
      <c r="M245" t="s">
        <v>77</v>
      </c>
      <c r="N245" t="s">
        <v>78</v>
      </c>
      <c r="O245" t="s">
        <v>74</v>
      </c>
      <c r="P245" t="s">
        <v>74</v>
      </c>
      <c r="Q245" t="s">
        <v>74</v>
      </c>
      <c r="R245" t="s">
        <v>74</v>
      </c>
      <c r="S245" t="s">
        <v>74</v>
      </c>
      <c r="T245" t="s">
        <v>74</v>
      </c>
      <c r="U245" t="s">
        <v>3552</v>
      </c>
      <c r="V245" t="s">
        <v>3553</v>
      </c>
      <c r="W245" t="s">
        <v>3554</v>
      </c>
      <c r="X245" t="s">
        <v>74</v>
      </c>
      <c r="Y245" t="s">
        <v>3555</v>
      </c>
      <c r="Z245" t="s">
        <v>3556</v>
      </c>
      <c r="AA245" t="s">
        <v>3557</v>
      </c>
      <c r="AB245" t="s">
        <v>3558</v>
      </c>
      <c r="AC245" t="s">
        <v>74</v>
      </c>
      <c r="AD245" t="s">
        <v>74</v>
      </c>
      <c r="AE245" t="s">
        <v>74</v>
      </c>
      <c r="AF245" t="s">
        <v>74</v>
      </c>
      <c r="AG245">
        <v>72</v>
      </c>
      <c r="AH245">
        <v>117</v>
      </c>
      <c r="AI245">
        <v>119</v>
      </c>
      <c r="AJ245">
        <v>0</v>
      </c>
      <c r="AK245">
        <v>20</v>
      </c>
      <c r="AL245" t="s">
        <v>86</v>
      </c>
      <c r="AM245" t="s">
        <v>87</v>
      </c>
      <c r="AN245" t="s">
        <v>88</v>
      </c>
      <c r="AO245" t="s">
        <v>1106</v>
      </c>
      <c r="AP245" t="s">
        <v>74</v>
      </c>
      <c r="AQ245" t="s">
        <v>74</v>
      </c>
      <c r="AR245" t="s">
        <v>1107</v>
      </c>
      <c r="AS245" t="s">
        <v>1108</v>
      </c>
      <c r="AT245" t="s">
        <v>2982</v>
      </c>
      <c r="AU245">
        <v>1999</v>
      </c>
      <c r="AV245">
        <v>29</v>
      </c>
      <c r="AW245">
        <v>9</v>
      </c>
      <c r="AX245" t="s">
        <v>74</v>
      </c>
      <c r="AY245" t="s">
        <v>74</v>
      </c>
      <c r="AZ245" t="s">
        <v>74</v>
      </c>
      <c r="BA245" t="s">
        <v>74</v>
      </c>
      <c r="BB245">
        <v>2303</v>
      </c>
      <c r="BC245">
        <v>2317</v>
      </c>
      <c r="BD245" t="s">
        <v>74</v>
      </c>
      <c r="BE245" t="s">
        <v>3559</v>
      </c>
      <c r="BF245" t="str">
        <f>HYPERLINK("http://dx.doi.org/10.1175/1520-0485(1999)029&lt;2303:TROMEI&gt;2.0.CO;2","http://dx.doi.org/10.1175/1520-0485(1999)029&lt;2303:TROMEI&gt;2.0.CO;2")</f>
        <v>http://dx.doi.org/10.1175/1520-0485(1999)029&lt;2303:TROMEI&gt;2.0.CO;2</v>
      </c>
      <c r="BG245" t="s">
        <v>74</v>
      </c>
      <c r="BH245" t="s">
        <v>74</v>
      </c>
      <c r="BI245">
        <v>15</v>
      </c>
      <c r="BJ245" t="s">
        <v>416</v>
      </c>
      <c r="BK245" t="s">
        <v>96</v>
      </c>
      <c r="BL245" t="s">
        <v>416</v>
      </c>
      <c r="BM245" t="s">
        <v>3560</v>
      </c>
      <c r="BN245" t="s">
        <v>74</v>
      </c>
      <c r="BO245" t="s">
        <v>250</v>
      </c>
      <c r="BP245" t="s">
        <v>74</v>
      </c>
      <c r="BQ245" t="s">
        <v>74</v>
      </c>
      <c r="BR245" t="s">
        <v>99</v>
      </c>
      <c r="BS245" t="s">
        <v>3561</v>
      </c>
      <c r="BT245" t="str">
        <f>HYPERLINK("https%3A%2F%2Fwww.webofscience.com%2Fwos%2Fwoscc%2Ffull-record%2FWOS:000083150600012","View Full Record in Web of Science")</f>
        <v>View Full Record in Web of Science</v>
      </c>
    </row>
    <row r="246" spans="1:72" x14ac:dyDescent="0.15">
      <c r="A246" t="s">
        <v>72</v>
      </c>
      <c r="B246" t="s">
        <v>3562</v>
      </c>
      <c r="C246" t="s">
        <v>74</v>
      </c>
      <c r="D246" t="s">
        <v>74</v>
      </c>
      <c r="E246" t="s">
        <v>74</v>
      </c>
      <c r="F246" t="s">
        <v>3562</v>
      </c>
      <c r="G246" t="s">
        <v>74</v>
      </c>
      <c r="H246" t="s">
        <v>74</v>
      </c>
      <c r="I246" t="s">
        <v>3563</v>
      </c>
      <c r="J246" t="s">
        <v>1100</v>
      </c>
      <c r="K246" t="s">
        <v>74</v>
      </c>
      <c r="L246" t="s">
        <v>74</v>
      </c>
      <c r="M246" t="s">
        <v>77</v>
      </c>
      <c r="N246" t="s">
        <v>78</v>
      </c>
      <c r="O246" t="s">
        <v>74</v>
      </c>
      <c r="P246" t="s">
        <v>74</v>
      </c>
      <c r="Q246" t="s">
        <v>74</v>
      </c>
      <c r="R246" t="s">
        <v>74</v>
      </c>
      <c r="S246" t="s">
        <v>74</v>
      </c>
      <c r="T246" t="s">
        <v>74</v>
      </c>
      <c r="U246" t="s">
        <v>3564</v>
      </c>
      <c r="V246" t="s">
        <v>3565</v>
      </c>
      <c r="W246" t="s">
        <v>3566</v>
      </c>
      <c r="X246" t="s">
        <v>131</v>
      </c>
      <c r="Y246" t="s">
        <v>3567</v>
      </c>
      <c r="Z246" t="s">
        <v>74</v>
      </c>
      <c r="AA246" t="s">
        <v>3568</v>
      </c>
      <c r="AB246" t="s">
        <v>3569</v>
      </c>
      <c r="AC246" t="s">
        <v>74</v>
      </c>
      <c r="AD246" t="s">
        <v>74</v>
      </c>
      <c r="AE246" t="s">
        <v>74</v>
      </c>
      <c r="AF246" t="s">
        <v>74</v>
      </c>
      <c r="AG246">
        <v>22</v>
      </c>
      <c r="AH246">
        <v>129</v>
      </c>
      <c r="AI246">
        <v>148</v>
      </c>
      <c r="AJ246">
        <v>0</v>
      </c>
      <c r="AK246">
        <v>31</v>
      </c>
      <c r="AL246" t="s">
        <v>86</v>
      </c>
      <c r="AM246" t="s">
        <v>87</v>
      </c>
      <c r="AN246" t="s">
        <v>88</v>
      </c>
      <c r="AO246" t="s">
        <v>1106</v>
      </c>
      <c r="AP246" t="s">
        <v>74</v>
      </c>
      <c r="AQ246" t="s">
        <v>74</v>
      </c>
      <c r="AR246" t="s">
        <v>1107</v>
      </c>
      <c r="AS246" t="s">
        <v>1108</v>
      </c>
      <c r="AT246" t="s">
        <v>2982</v>
      </c>
      <c r="AU246">
        <v>1999</v>
      </c>
      <c r="AV246">
        <v>29</v>
      </c>
      <c r="AW246">
        <v>9</v>
      </c>
      <c r="AX246" t="s">
        <v>74</v>
      </c>
      <c r="AY246" t="s">
        <v>74</v>
      </c>
      <c r="AZ246" t="s">
        <v>74</v>
      </c>
      <c r="BA246" t="s">
        <v>74</v>
      </c>
      <c r="BB246">
        <v>2370</v>
      </c>
      <c r="BC246">
        <v>2381</v>
      </c>
      <c r="BD246" t="s">
        <v>74</v>
      </c>
      <c r="BE246" t="s">
        <v>3570</v>
      </c>
      <c r="BF246" t="str">
        <f>HYPERLINK("http://dx.doi.org/10.1175/1520-0485(1999)029&lt;2370:TIOMIO&gt;2.0.CO;2","http://dx.doi.org/10.1175/1520-0485(1999)029&lt;2370:TIOMIO&gt;2.0.CO;2")</f>
        <v>http://dx.doi.org/10.1175/1520-0485(1999)029&lt;2370:TIOMIO&gt;2.0.CO;2</v>
      </c>
      <c r="BG246" t="s">
        <v>74</v>
      </c>
      <c r="BH246" t="s">
        <v>74</v>
      </c>
      <c r="BI246">
        <v>12</v>
      </c>
      <c r="BJ246" t="s">
        <v>416</v>
      </c>
      <c r="BK246" t="s">
        <v>96</v>
      </c>
      <c r="BL246" t="s">
        <v>416</v>
      </c>
      <c r="BM246" t="s">
        <v>3560</v>
      </c>
      <c r="BN246" t="s">
        <v>74</v>
      </c>
      <c r="BO246" t="s">
        <v>98</v>
      </c>
      <c r="BP246" t="s">
        <v>74</v>
      </c>
      <c r="BQ246" t="s">
        <v>74</v>
      </c>
      <c r="BR246" t="s">
        <v>99</v>
      </c>
      <c r="BS246" t="s">
        <v>3571</v>
      </c>
      <c r="BT246" t="str">
        <f>HYPERLINK("https%3A%2F%2Fwww.webofscience.com%2Fwos%2Fwoscc%2Ffull-record%2FWOS:000083150600016","View Full Record in Web of Science")</f>
        <v>View Full Record in Web of Science</v>
      </c>
    </row>
    <row r="247" spans="1:72" x14ac:dyDescent="0.15">
      <c r="A247" t="s">
        <v>72</v>
      </c>
      <c r="B247" t="s">
        <v>3572</v>
      </c>
      <c r="C247" t="s">
        <v>74</v>
      </c>
      <c r="D247" t="s">
        <v>74</v>
      </c>
      <c r="E247" t="s">
        <v>74</v>
      </c>
      <c r="F247" t="s">
        <v>3572</v>
      </c>
      <c r="G247" t="s">
        <v>74</v>
      </c>
      <c r="H247" t="s">
        <v>74</v>
      </c>
      <c r="I247" t="s">
        <v>3573</v>
      </c>
      <c r="J247" t="s">
        <v>1100</v>
      </c>
      <c r="K247" t="s">
        <v>74</v>
      </c>
      <c r="L247" t="s">
        <v>74</v>
      </c>
      <c r="M247" t="s">
        <v>77</v>
      </c>
      <c r="N247" t="s">
        <v>78</v>
      </c>
      <c r="O247" t="s">
        <v>74</v>
      </c>
      <c r="P247" t="s">
        <v>74</v>
      </c>
      <c r="Q247" t="s">
        <v>74</v>
      </c>
      <c r="R247" t="s">
        <v>74</v>
      </c>
      <c r="S247" t="s">
        <v>74</v>
      </c>
      <c r="T247" t="s">
        <v>74</v>
      </c>
      <c r="U247" t="s">
        <v>3574</v>
      </c>
      <c r="V247" t="s">
        <v>3575</v>
      </c>
      <c r="W247" t="s">
        <v>3576</v>
      </c>
      <c r="X247" t="s">
        <v>3577</v>
      </c>
      <c r="Y247" t="s">
        <v>3578</v>
      </c>
      <c r="Z247" t="s">
        <v>74</v>
      </c>
      <c r="AA247" t="s">
        <v>74</v>
      </c>
      <c r="AB247" t="s">
        <v>74</v>
      </c>
      <c r="AC247" t="s">
        <v>74</v>
      </c>
      <c r="AD247" t="s">
        <v>74</v>
      </c>
      <c r="AE247" t="s">
        <v>74</v>
      </c>
      <c r="AF247" t="s">
        <v>74</v>
      </c>
      <c r="AG247">
        <v>28</v>
      </c>
      <c r="AH247">
        <v>61</v>
      </c>
      <c r="AI247">
        <v>64</v>
      </c>
      <c r="AJ247">
        <v>0</v>
      </c>
      <c r="AK247">
        <v>7</v>
      </c>
      <c r="AL247" t="s">
        <v>86</v>
      </c>
      <c r="AM247" t="s">
        <v>87</v>
      </c>
      <c r="AN247" t="s">
        <v>88</v>
      </c>
      <c r="AO247" t="s">
        <v>1106</v>
      </c>
      <c r="AP247" t="s">
        <v>74</v>
      </c>
      <c r="AQ247" t="s">
        <v>74</v>
      </c>
      <c r="AR247" t="s">
        <v>1107</v>
      </c>
      <c r="AS247" t="s">
        <v>1108</v>
      </c>
      <c r="AT247" t="s">
        <v>2982</v>
      </c>
      <c r="AU247">
        <v>1999</v>
      </c>
      <c r="AV247">
        <v>29</v>
      </c>
      <c r="AW247">
        <v>9</v>
      </c>
      <c r="AX247" t="s">
        <v>74</v>
      </c>
      <c r="AY247" t="s">
        <v>74</v>
      </c>
      <c r="AZ247" t="s">
        <v>74</v>
      </c>
      <c r="BA247" t="s">
        <v>74</v>
      </c>
      <c r="BB247">
        <v>2442</v>
      </c>
      <c r="BC247">
        <v>2456</v>
      </c>
      <c r="BD247" t="s">
        <v>74</v>
      </c>
      <c r="BE247" t="s">
        <v>3579</v>
      </c>
      <c r="BF247" t="str">
        <f>HYPERLINK("http://dx.doi.org/10.1175/1520-0485(1999)029&lt;2442:OTMCIT&gt;2.0.CO;2","http://dx.doi.org/10.1175/1520-0485(1999)029&lt;2442:OTMCIT&gt;2.0.CO;2")</f>
        <v>http://dx.doi.org/10.1175/1520-0485(1999)029&lt;2442:OTMCIT&gt;2.0.CO;2</v>
      </c>
      <c r="BG247" t="s">
        <v>74</v>
      </c>
      <c r="BH247" t="s">
        <v>74</v>
      </c>
      <c r="BI247">
        <v>15</v>
      </c>
      <c r="BJ247" t="s">
        <v>416</v>
      </c>
      <c r="BK247" t="s">
        <v>96</v>
      </c>
      <c r="BL247" t="s">
        <v>416</v>
      </c>
      <c r="BM247" t="s">
        <v>3560</v>
      </c>
      <c r="BN247" t="s">
        <v>74</v>
      </c>
      <c r="BO247" t="s">
        <v>250</v>
      </c>
      <c r="BP247" t="s">
        <v>74</v>
      </c>
      <c r="BQ247" t="s">
        <v>74</v>
      </c>
      <c r="BR247" t="s">
        <v>99</v>
      </c>
      <c r="BS247" t="s">
        <v>3580</v>
      </c>
      <c r="BT247" t="str">
        <f>HYPERLINK("https%3A%2F%2Fwww.webofscience.com%2Fwos%2Fwoscc%2Ffull-record%2FWOS:000083150600021","View Full Record in Web of Science")</f>
        <v>View Full Record in Web of Science</v>
      </c>
    </row>
    <row r="248" spans="1:72" x14ac:dyDescent="0.15">
      <c r="A248" t="s">
        <v>72</v>
      </c>
      <c r="B248" t="s">
        <v>3581</v>
      </c>
      <c r="C248" t="s">
        <v>74</v>
      </c>
      <c r="D248" t="s">
        <v>74</v>
      </c>
      <c r="E248" t="s">
        <v>74</v>
      </c>
      <c r="F248" t="s">
        <v>3581</v>
      </c>
      <c r="G248" t="s">
        <v>74</v>
      </c>
      <c r="H248" t="s">
        <v>74</v>
      </c>
      <c r="I248" t="s">
        <v>3582</v>
      </c>
      <c r="J248" t="s">
        <v>3583</v>
      </c>
      <c r="K248" t="s">
        <v>74</v>
      </c>
      <c r="L248" t="s">
        <v>74</v>
      </c>
      <c r="M248" t="s">
        <v>77</v>
      </c>
      <c r="N248" t="s">
        <v>78</v>
      </c>
      <c r="O248" t="s">
        <v>74</v>
      </c>
      <c r="P248" t="s">
        <v>74</v>
      </c>
      <c r="Q248" t="s">
        <v>74</v>
      </c>
      <c r="R248" t="s">
        <v>74</v>
      </c>
      <c r="S248" t="s">
        <v>74</v>
      </c>
      <c r="T248" t="s">
        <v>3584</v>
      </c>
      <c r="U248" t="s">
        <v>3585</v>
      </c>
      <c r="V248" t="s">
        <v>3586</v>
      </c>
      <c r="W248" t="s">
        <v>3587</v>
      </c>
      <c r="X248" t="s">
        <v>2963</v>
      </c>
      <c r="Y248" t="s">
        <v>3588</v>
      </c>
      <c r="Z248" t="s">
        <v>3589</v>
      </c>
      <c r="AA248" t="s">
        <v>74</v>
      </c>
      <c r="AB248" t="s">
        <v>74</v>
      </c>
      <c r="AC248" t="s">
        <v>74</v>
      </c>
      <c r="AD248" t="s">
        <v>74</v>
      </c>
      <c r="AE248" t="s">
        <v>74</v>
      </c>
      <c r="AF248" t="s">
        <v>74</v>
      </c>
      <c r="AG248">
        <v>95</v>
      </c>
      <c r="AH248">
        <v>39</v>
      </c>
      <c r="AI248">
        <v>40</v>
      </c>
      <c r="AJ248">
        <v>1</v>
      </c>
      <c r="AK248">
        <v>6</v>
      </c>
      <c r="AL248" t="s">
        <v>275</v>
      </c>
      <c r="AM248" t="s">
        <v>276</v>
      </c>
      <c r="AN248" t="s">
        <v>277</v>
      </c>
      <c r="AO248" t="s">
        <v>3590</v>
      </c>
      <c r="AP248" t="s">
        <v>74</v>
      </c>
      <c r="AQ248" t="s">
        <v>74</v>
      </c>
      <c r="AR248" t="s">
        <v>3591</v>
      </c>
      <c r="AS248" t="s">
        <v>3592</v>
      </c>
      <c r="AT248" t="s">
        <v>2982</v>
      </c>
      <c r="AU248">
        <v>1999</v>
      </c>
      <c r="AV248">
        <v>12</v>
      </c>
      <c r="AW248">
        <v>5</v>
      </c>
      <c r="AX248" t="s">
        <v>74</v>
      </c>
      <c r="AY248" t="s">
        <v>74</v>
      </c>
      <c r="AZ248" t="s">
        <v>74</v>
      </c>
      <c r="BA248" t="s">
        <v>74</v>
      </c>
      <c r="BB248">
        <v>471</v>
      </c>
      <c r="BC248">
        <v>487</v>
      </c>
      <c r="BD248" t="s">
        <v>74</v>
      </c>
      <c r="BE248" t="s">
        <v>3593</v>
      </c>
      <c r="BF248" t="str">
        <f>HYPERLINK("http://dx.doi.org/10.1016/S0895-9811(99)00035-8","http://dx.doi.org/10.1016/S0895-9811(99)00035-8")</f>
        <v>http://dx.doi.org/10.1016/S0895-9811(99)00035-8</v>
      </c>
      <c r="BG248" t="s">
        <v>74</v>
      </c>
      <c r="BH248" t="s">
        <v>74</v>
      </c>
      <c r="BI248">
        <v>17</v>
      </c>
      <c r="BJ248" t="s">
        <v>387</v>
      </c>
      <c r="BK248" t="s">
        <v>96</v>
      </c>
      <c r="BL248" t="s">
        <v>388</v>
      </c>
      <c r="BM248" t="s">
        <v>3594</v>
      </c>
      <c r="BN248" t="s">
        <v>74</v>
      </c>
      <c r="BO248" t="s">
        <v>74</v>
      </c>
      <c r="BP248" t="s">
        <v>74</v>
      </c>
      <c r="BQ248" t="s">
        <v>74</v>
      </c>
      <c r="BR248" t="s">
        <v>99</v>
      </c>
      <c r="BS248" t="s">
        <v>3595</v>
      </c>
      <c r="BT248" t="str">
        <f>HYPERLINK("https%3A%2F%2Fwww.webofscience.com%2Fwos%2Fwoscc%2Ffull-record%2FWOS:000084522900003","View Full Record in Web of Science")</f>
        <v>View Full Record in Web of Science</v>
      </c>
    </row>
    <row r="249" spans="1:72" x14ac:dyDescent="0.15">
      <c r="A249" t="s">
        <v>72</v>
      </c>
      <c r="B249" t="s">
        <v>3596</v>
      </c>
      <c r="C249" t="s">
        <v>74</v>
      </c>
      <c r="D249" t="s">
        <v>74</v>
      </c>
      <c r="E249" t="s">
        <v>74</v>
      </c>
      <c r="F249" t="s">
        <v>3596</v>
      </c>
      <c r="G249" t="s">
        <v>74</v>
      </c>
      <c r="H249" t="s">
        <v>74</v>
      </c>
      <c r="I249" t="s">
        <v>3597</v>
      </c>
      <c r="J249" t="s">
        <v>1163</v>
      </c>
      <c r="K249" t="s">
        <v>74</v>
      </c>
      <c r="L249" t="s">
        <v>74</v>
      </c>
      <c r="M249" t="s">
        <v>77</v>
      </c>
      <c r="N249" t="s">
        <v>78</v>
      </c>
      <c r="O249" t="s">
        <v>74</v>
      </c>
      <c r="P249" t="s">
        <v>74</v>
      </c>
      <c r="Q249" t="s">
        <v>74</v>
      </c>
      <c r="R249" t="s">
        <v>74</v>
      </c>
      <c r="S249" t="s">
        <v>74</v>
      </c>
      <c r="T249" t="s">
        <v>3598</v>
      </c>
      <c r="U249" t="s">
        <v>3599</v>
      </c>
      <c r="V249" t="s">
        <v>3600</v>
      </c>
      <c r="W249" t="s">
        <v>1928</v>
      </c>
      <c r="X249" t="s">
        <v>131</v>
      </c>
      <c r="Y249" t="s">
        <v>3601</v>
      </c>
      <c r="Z249" t="s">
        <v>74</v>
      </c>
      <c r="AA249" t="s">
        <v>74</v>
      </c>
      <c r="AB249" t="s">
        <v>74</v>
      </c>
      <c r="AC249" t="s">
        <v>74</v>
      </c>
      <c r="AD249" t="s">
        <v>74</v>
      </c>
      <c r="AE249" t="s">
        <v>74</v>
      </c>
      <c r="AF249" t="s">
        <v>74</v>
      </c>
      <c r="AG249">
        <v>61</v>
      </c>
      <c r="AH249">
        <v>23</v>
      </c>
      <c r="AI249">
        <v>24</v>
      </c>
      <c r="AJ249">
        <v>0</v>
      </c>
      <c r="AK249">
        <v>2</v>
      </c>
      <c r="AL249" t="s">
        <v>1175</v>
      </c>
      <c r="AM249" t="s">
        <v>1176</v>
      </c>
      <c r="AN249" t="s">
        <v>1177</v>
      </c>
      <c r="AO249" t="s">
        <v>1178</v>
      </c>
      <c r="AP249" t="s">
        <v>74</v>
      </c>
      <c r="AQ249" t="s">
        <v>74</v>
      </c>
      <c r="AR249" t="s">
        <v>1179</v>
      </c>
      <c r="AS249" t="s">
        <v>1180</v>
      </c>
      <c r="AT249" t="s">
        <v>2982</v>
      </c>
      <c r="AU249">
        <v>1999</v>
      </c>
      <c r="AV249">
        <v>156</v>
      </c>
      <c r="AW249" t="s">
        <v>74</v>
      </c>
      <c r="AX249">
        <v>5</v>
      </c>
      <c r="AY249" t="s">
        <v>74</v>
      </c>
      <c r="AZ249" t="s">
        <v>74</v>
      </c>
      <c r="BA249" t="s">
        <v>74</v>
      </c>
      <c r="BB249">
        <v>889</v>
      </c>
      <c r="BC249">
        <v>900</v>
      </c>
      <c r="BD249" t="s">
        <v>74</v>
      </c>
      <c r="BE249" t="s">
        <v>3602</v>
      </c>
      <c r="BF249" t="str">
        <f>HYPERLINK("http://dx.doi.org/10.1144/gsjgs.156.5.0889","http://dx.doi.org/10.1144/gsjgs.156.5.0889")</f>
        <v>http://dx.doi.org/10.1144/gsjgs.156.5.0889</v>
      </c>
      <c r="BG249" t="s">
        <v>74</v>
      </c>
      <c r="BH249" t="s">
        <v>74</v>
      </c>
      <c r="BI249">
        <v>12</v>
      </c>
      <c r="BJ249" t="s">
        <v>387</v>
      </c>
      <c r="BK249" t="s">
        <v>96</v>
      </c>
      <c r="BL249" t="s">
        <v>388</v>
      </c>
      <c r="BM249" t="s">
        <v>3603</v>
      </c>
      <c r="BN249" t="s">
        <v>74</v>
      </c>
      <c r="BO249" t="s">
        <v>1214</v>
      </c>
      <c r="BP249" t="s">
        <v>74</v>
      </c>
      <c r="BQ249" t="s">
        <v>74</v>
      </c>
      <c r="BR249" t="s">
        <v>99</v>
      </c>
      <c r="BS249" t="s">
        <v>3604</v>
      </c>
      <c r="BT249" t="str">
        <f>HYPERLINK("https%3A%2F%2Fwww.webofscience.com%2Fwos%2Fwoscc%2Ffull-record%2FWOS:000082239900003","View Full Record in Web of Science")</f>
        <v>View Full Record in Web of Science</v>
      </c>
    </row>
    <row r="250" spans="1:72" x14ac:dyDescent="0.15">
      <c r="A250" t="s">
        <v>72</v>
      </c>
      <c r="B250" t="s">
        <v>3605</v>
      </c>
      <c r="C250" t="s">
        <v>74</v>
      </c>
      <c r="D250" t="s">
        <v>74</v>
      </c>
      <c r="E250" t="s">
        <v>74</v>
      </c>
      <c r="F250" t="s">
        <v>3605</v>
      </c>
      <c r="G250" t="s">
        <v>74</v>
      </c>
      <c r="H250" t="s">
        <v>74</v>
      </c>
      <c r="I250" t="s">
        <v>3606</v>
      </c>
      <c r="J250" t="s">
        <v>1163</v>
      </c>
      <c r="K250" t="s">
        <v>74</v>
      </c>
      <c r="L250" t="s">
        <v>74</v>
      </c>
      <c r="M250" t="s">
        <v>77</v>
      </c>
      <c r="N250" t="s">
        <v>78</v>
      </c>
      <c r="O250" t="s">
        <v>74</v>
      </c>
      <c r="P250" t="s">
        <v>74</v>
      </c>
      <c r="Q250" t="s">
        <v>74</v>
      </c>
      <c r="R250" t="s">
        <v>74</v>
      </c>
      <c r="S250" t="s">
        <v>74</v>
      </c>
      <c r="T250" t="s">
        <v>3607</v>
      </c>
      <c r="U250" t="s">
        <v>3608</v>
      </c>
      <c r="V250" t="s">
        <v>3609</v>
      </c>
      <c r="W250" t="s">
        <v>3610</v>
      </c>
      <c r="X250" t="s">
        <v>3611</v>
      </c>
      <c r="Y250" t="s">
        <v>3612</v>
      </c>
      <c r="Z250" t="s">
        <v>3613</v>
      </c>
      <c r="AA250" t="s">
        <v>3614</v>
      </c>
      <c r="AB250" t="s">
        <v>3615</v>
      </c>
      <c r="AC250" t="s">
        <v>74</v>
      </c>
      <c r="AD250" t="s">
        <v>74</v>
      </c>
      <c r="AE250" t="s">
        <v>74</v>
      </c>
      <c r="AF250" t="s">
        <v>74</v>
      </c>
      <c r="AG250">
        <v>44</v>
      </c>
      <c r="AH250">
        <v>47</v>
      </c>
      <c r="AI250">
        <v>54</v>
      </c>
      <c r="AJ250">
        <v>0</v>
      </c>
      <c r="AK250">
        <v>8</v>
      </c>
      <c r="AL250" t="s">
        <v>1175</v>
      </c>
      <c r="AM250" t="s">
        <v>1176</v>
      </c>
      <c r="AN250" t="s">
        <v>3616</v>
      </c>
      <c r="AO250" t="s">
        <v>1178</v>
      </c>
      <c r="AP250" t="s">
        <v>74</v>
      </c>
      <c r="AQ250" t="s">
        <v>74</v>
      </c>
      <c r="AR250" t="s">
        <v>1179</v>
      </c>
      <c r="AS250" t="s">
        <v>1180</v>
      </c>
      <c r="AT250" t="s">
        <v>2982</v>
      </c>
      <c r="AU250">
        <v>1999</v>
      </c>
      <c r="AV250">
        <v>156</v>
      </c>
      <c r="AW250" t="s">
        <v>74</v>
      </c>
      <c r="AX250">
        <v>5</v>
      </c>
      <c r="AY250" t="s">
        <v>74</v>
      </c>
      <c r="AZ250" t="s">
        <v>74</v>
      </c>
      <c r="BA250" t="s">
        <v>74</v>
      </c>
      <c r="BB250">
        <v>957</v>
      </c>
      <c r="BC250">
        <v>964</v>
      </c>
      <c r="BD250" t="s">
        <v>74</v>
      </c>
      <c r="BE250" t="s">
        <v>3617</v>
      </c>
      <c r="BF250" t="str">
        <f>HYPERLINK("http://dx.doi.org/10.1144/gsjgs.156.5.0957","http://dx.doi.org/10.1144/gsjgs.156.5.0957")</f>
        <v>http://dx.doi.org/10.1144/gsjgs.156.5.0957</v>
      </c>
      <c r="BG250" t="s">
        <v>74</v>
      </c>
      <c r="BH250" t="s">
        <v>74</v>
      </c>
      <c r="BI250">
        <v>8</v>
      </c>
      <c r="BJ250" t="s">
        <v>387</v>
      </c>
      <c r="BK250" t="s">
        <v>96</v>
      </c>
      <c r="BL250" t="s">
        <v>388</v>
      </c>
      <c r="BM250" t="s">
        <v>3603</v>
      </c>
      <c r="BN250" t="s">
        <v>74</v>
      </c>
      <c r="BO250" t="s">
        <v>74</v>
      </c>
      <c r="BP250" t="s">
        <v>74</v>
      </c>
      <c r="BQ250" t="s">
        <v>74</v>
      </c>
      <c r="BR250" t="s">
        <v>99</v>
      </c>
      <c r="BS250" t="s">
        <v>3618</v>
      </c>
      <c r="BT250" t="str">
        <f>HYPERLINK("https%3A%2F%2Fwww.webofscience.com%2Fwos%2Fwoscc%2Ffull-record%2FWOS:000082239900008","View Full Record in Web of Science")</f>
        <v>View Full Record in Web of Science</v>
      </c>
    </row>
    <row r="251" spans="1:72" x14ac:dyDescent="0.15">
      <c r="A251" t="s">
        <v>72</v>
      </c>
      <c r="B251" t="s">
        <v>3619</v>
      </c>
      <c r="C251" t="s">
        <v>74</v>
      </c>
      <c r="D251" t="s">
        <v>74</v>
      </c>
      <c r="E251" t="s">
        <v>74</v>
      </c>
      <c r="F251" t="s">
        <v>3619</v>
      </c>
      <c r="G251" t="s">
        <v>74</v>
      </c>
      <c r="H251" t="s">
        <v>74</v>
      </c>
      <c r="I251" t="s">
        <v>3620</v>
      </c>
      <c r="J251" t="s">
        <v>3621</v>
      </c>
      <c r="K251" t="s">
        <v>74</v>
      </c>
      <c r="L251" t="s">
        <v>74</v>
      </c>
      <c r="M251" t="s">
        <v>77</v>
      </c>
      <c r="N251" t="s">
        <v>78</v>
      </c>
      <c r="O251" t="s">
        <v>74</v>
      </c>
      <c r="P251" t="s">
        <v>74</v>
      </c>
      <c r="Q251" t="s">
        <v>74</v>
      </c>
      <c r="R251" t="s">
        <v>74</v>
      </c>
      <c r="S251" t="s">
        <v>74</v>
      </c>
      <c r="T251" t="s">
        <v>3622</v>
      </c>
      <c r="U251" t="s">
        <v>3623</v>
      </c>
      <c r="V251" t="s">
        <v>3624</v>
      </c>
      <c r="W251" t="s">
        <v>3625</v>
      </c>
      <c r="X251" t="s">
        <v>3626</v>
      </c>
      <c r="Y251" t="s">
        <v>3627</v>
      </c>
      <c r="Z251" t="s">
        <v>74</v>
      </c>
      <c r="AA251" t="s">
        <v>3628</v>
      </c>
      <c r="AB251" t="s">
        <v>3629</v>
      </c>
      <c r="AC251" t="s">
        <v>74</v>
      </c>
      <c r="AD251" t="s">
        <v>74</v>
      </c>
      <c r="AE251" t="s">
        <v>74</v>
      </c>
      <c r="AF251" t="s">
        <v>74</v>
      </c>
      <c r="AG251">
        <v>73</v>
      </c>
      <c r="AH251">
        <v>45</v>
      </c>
      <c r="AI251">
        <v>49</v>
      </c>
      <c r="AJ251">
        <v>1</v>
      </c>
      <c r="AK251">
        <v>226</v>
      </c>
      <c r="AL251" t="s">
        <v>2057</v>
      </c>
      <c r="AM251" t="s">
        <v>554</v>
      </c>
      <c r="AN251" t="s">
        <v>2058</v>
      </c>
      <c r="AO251" t="s">
        <v>3630</v>
      </c>
      <c r="AP251" t="s">
        <v>74</v>
      </c>
      <c r="AQ251" t="s">
        <v>74</v>
      </c>
      <c r="AR251" t="s">
        <v>3631</v>
      </c>
      <c r="AS251" t="s">
        <v>3632</v>
      </c>
      <c r="AT251" t="s">
        <v>2982</v>
      </c>
      <c r="AU251">
        <v>1999</v>
      </c>
      <c r="AV251">
        <v>249</v>
      </c>
      <c r="AW251" t="s">
        <v>74</v>
      </c>
      <c r="AX251">
        <v>1</v>
      </c>
      <c r="AY251" t="s">
        <v>74</v>
      </c>
      <c r="AZ251" t="s">
        <v>74</v>
      </c>
      <c r="BA251" t="s">
        <v>74</v>
      </c>
      <c r="BB251">
        <v>97</v>
      </c>
      <c r="BC251">
        <v>109</v>
      </c>
      <c r="BD251" t="s">
        <v>74</v>
      </c>
      <c r="BE251" t="s">
        <v>74</v>
      </c>
      <c r="BF251" t="s">
        <v>74</v>
      </c>
      <c r="BG251" t="s">
        <v>74</v>
      </c>
      <c r="BH251" t="s">
        <v>74</v>
      </c>
      <c r="BI251">
        <v>13</v>
      </c>
      <c r="BJ251" t="s">
        <v>142</v>
      </c>
      <c r="BK251" t="s">
        <v>96</v>
      </c>
      <c r="BL251" t="s">
        <v>142</v>
      </c>
      <c r="BM251" t="s">
        <v>3633</v>
      </c>
      <c r="BN251" t="s">
        <v>74</v>
      </c>
      <c r="BO251" t="s">
        <v>74</v>
      </c>
      <c r="BP251" t="s">
        <v>74</v>
      </c>
      <c r="BQ251" t="s">
        <v>74</v>
      </c>
      <c r="BR251" t="s">
        <v>99</v>
      </c>
      <c r="BS251" t="s">
        <v>3634</v>
      </c>
      <c r="BT251" t="str">
        <f>HYPERLINK("https%3A%2F%2Fwww.webofscience.com%2Fwos%2Fwoscc%2Ffull-record%2FWOS:000082888000009","View Full Record in Web of Science")</f>
        <v>View Full Record in Web of Science</v>
      </c>
    </row>
    <row r="252" spans="1:72" x14ac:dyDescent="0.15">
      <c r="A252" t="s">
        <v>72</v>
      </c>
      <c r="B252" t="s">
        <v>3635</v>
      </c>
      <c r="C252" t="s">
        <v>74</v>
      </c>
      <c r="D252" t="s">
        <v>74</v>
      </c>
      <c r="E252" t="s">
        <v>74</v>
      </c>
      <c r="F252" t="s">
        <v>3635</v>
      </c>
      <c r="G252" t="s">
        <v>74</v>
      </c>
      <c r="H252" t="s">
        <v>74</v>
      </c>
      <c r="I252" t="s">
        <v>3636</v>
      </c>
      <c r="J252" t="s">
        <v>1199</v>
      </c>
      <c r="K252" t="s">
        <v>74</v>
      </c>
      <c r="L252" t="s">
        <v>74</v>
      </c>
      <c r="M252" t="s">
        <v>77</v>
      </c>
      <c r="N252" t="s">
        <v>78</v>
      </c>
      <c r="O252" t="s">
        <v>74</v>
      </c>
      <c r="P252" t="s">
        <v>74</v>
      </c>
      <c r="Q252" t="s">
        <v>74</v>
      </c>
      <c r="R252" t="s">
        <v>74</v>
      </c>
      <c r="S252" t="s">
        <v>74</v>
      </c>
      <c r="T252" t="s">
        <v>74</v>
      </c>
      <c r="U252" t="s">
        <v>3637</v>
      </c>
      <c r="V252" t="s">
        <v>3638</v>
      </c>
      <c r="W252" t="s">
        <v>151</v>
      </c>
      <c r="X252" t="s">
        <v>131</v>
      </c>
      <c r="Y252" t="s">
        <v>3639</v>
      </c>
      <c r="Z252" t="s">
        <v>74</v>
      </c>
      <c r="AA252" t="s">
        <v>3640</v>
      </c>
      <c r="AB252" t="s">
        <v>3641</v>
      </c>
      <c r="AC252" t="s">
        <v>74</v>
      </c>
      <c r="AD252" t="s">
        <v>74</v>
      </c>
      <c r="AE252" t="s">
        <v>74</v>
      </c>
      <c r="AF252" t="s">
        <v>74</v>
      </c>
      <c r="AG252">
        <v>47</v>
      </c>
      <c r="AH252">
        <v>27</v>
      </c>
      <c r="AI252">
        <v>28</v>
      </c>
      <c r="AJ252">
        <v>0</v>
      </c>
      <c r="AK252">
        <v>4</v>
      </c>
      <c r="AL252" t="s">
        <v>3642</v>
      </c>
      <c r="AM252" t="s">
        <v>3643</v>
      </c>
      <c r="AN252" t="s">
        <v>3644</v>
      </c>
      <c r="AO252" t="s">
        <v>1207</v>
      </c>
      <c r="AP252" t="s">
        <v>74</v>
      </c>
      <c r="AQ252" t="s">
        <v>74</v>
      </c>
      <c r="AR252" t="s">
        <v>1209</v>
      </c>
      <c r="AS252" t="s">
        <v>1210</v>
      </c>
      <c r="AT252" t="s">
        <v>2982</v>
      </c>
      <c r="AU252">
        <v>1999</v>
      </c>
      <c r="AV252">
        <v>44</v>
      </c>
      <c r="AW252">
        <v>6</v>
      </c>
      <c r="AX252" t="s">
        <v>74</v>
      </c>
      <c r="AY252" t="s">
        <v>74</v>
      </c>
      <c r="AZ252" t="s">
        <v>74</v>
      </c>
      <c r="BA252" t="s">
        <v>74</v>
      </c>
      <c r="BB252">
        <v>1498</v>
      </c>
      <c r="BC252">
        <v>1508</v>
      </c>
      <c r="BD252" t="s">
        <v>74</v>
      </c>
      <c r="BE252" t="s">
        <v>3645</v>
      </c>
      <c r="BF252" t="str">
        <f>HYPERLINK("http://dx.doi.org/10.4319/lo.1999.44.6.1498","http://dx.doi.org/10.4319/lo.1999.44.6.1498")</f>
        <v>http://dx.doi.org/10.4319/lo.1999.44.6.1498</v>
      </c>
      <c r="BG252" t="s">
        <v>74</v>
      </c>
      <c r="BH252" t="s">
        <v>74</v>
      </c>
      <c r="BI252">
        <v>11</v>
      </c>
      <c r="BJ252" t="s">
        <v>1212</v>
      </c>
      <c r="BK252" t="s">
        <v>96</v>
      </c>
      <c r="BL252" t="s">
        <v>1136</v>
      </c>
      <c r="BM252" t="s">
        <v>3646</v>
      </c>
      <c r="BN252" t="s">
        <v>74</v>
      </c>
      <c r="BO252" t="s">
        <v>250</v>
      </c>
      <c r="BP252" t="s">
        <v>74</v>
      </c>
      <c r="BQ252" t="s">
        <v>74</v>
      </c>
      <c r="BR252" t="s">
        <v>99</v>
      </c>
      <c r="BS252" t="s">
        <v>3647</v>
      </c>
      <c r="BT252" t="str">
        <f>HYPERLINK("https%3A%2F%2Fwww.webofscience.com%2Fwos%2Fwoscc%2Ffull-record%2FWOS:000082201900013","View Full Record in Web of Science")</f>
        <v>View Full Record in Web of Science</v>
      </c>
    </row>
    <row r="253" spans="1:72" x14ac:dyDescent="0.15">
      <c r="A253" t="s">
        <v>72</v>
      </c>
      <c r="B253" t="s">
        <v>3648</v>
      </c>
      <c r="C253" t="s">
        <v>74</v>
      </c>
      <c r="D253" t="s">
        <v>74</v>
      </c>
      <c r="E253" t="s">
        <v>74</v>
      </c>
      <c r="F253" t="s">
        <v>3648</v>
      </c>
      <c r="G253" t="s">
        <v>74</v>
      </c>
      <c r="H253" t="s">
        <v>74</v>
      </c>
      <c r="I253" t="s">
        <v>3649</v>
      </c>
      <c r="J253" t="s">
        <v>1218</v>
      </c>
      <c r="K253" t="s">
        <v>74</v>
      </c>
      <c r="L253" t="s">
        <v>74</v>
      </c>
      <c r="M253" t="s">
        <v>77</v>
      </c>
      <c r="N253" t="s">
        <v>78</v>
      </c>
      <c r="O253" t="s">
        <v>74</v>
      </c>
      <c r="P253" t="s">
        <v>74</v>
      </c>
      <c r="Q253" t="s">
        <v>74</v>
      </c>
      <c r="R253" t="s">
        <v>74</v>
      </c>
      <c r="S253" t="s">
        <v>74</v>
      </c>
      <c r="T253" t="s">
        <v>74</v>
      </c>
      <c r="U253" t="s">
        <v>3650</v>
      </c>
      <c r="V253" t="s">
        <v>3651</v>
      </c>
      <c r="W253" t="s">
        <v>3652</v>
      </c>
      <c r="X253" t="s">
        <v>3653</v>
      </c>
      <c r="Y253" t="s">
        <v>3654</v>
      </c>
      <c r="Z253" t="s">
        <v>74</v>
      </c>
      <c r="AA253" t="s">
        <v>3655</v>
      </c>
      <c r="AB253" t="s">
        <v>3656</v>
      </c>
      <c r="AC253" t="s">
        <v>74</v>
      </c>
      <c r="AD253" t="s">
        <v>74</v>
      </c>
      <c r="AE253" t="s">
        <v>74</v>
      </c>
      <c r="AF253" t="s">
        <v>74</v>
      </c>
      <c r="AG253">
        <v>30</v>
      </c>
      <c r="AH253">
        <v>5</v>
      </c>
      <c r="AI253">
        <v>6</v>
      </c>
      <c r="AJ253">
        <v>0</v>
      </c>
      <c r="AK253">
        <v>7</v>
      </c>
      <c r="AL253" t="s">
        <v>705</v>
      </c>
      <c r="AM253" t="s">
        <v>554</v>
      </c>
      <c r="AN253" t="s">
        <v>706</v>
      </c>
      <c r="AO253" t="s">
        <v>1225</v>
      </c>
      <c r="AP253" t="s">
        <v>74</v>
      </c>
      <c r="AQ253" t="s">
        <v>74</v>
      </c>
      <c r="AR253" t="s">
        <v>1226</v>
      </c>
      <c r="AS253" t="s">
        <v>1227</v>
      </c>
      <c r="AT253" t="s">
        <v>2982</v>
      </c>
      <c r="AU253">
        <v>1999</v>
      </c>
      <c r="AV253">
        <v>134</v>
      </c>
      <c r="AW253">
        <v>4</v>
      </c>
      <c r="AX253" t="s">
        <v>74</v>
      </c>
      <c r="AY253" t="s">
        <v>74</v>
      </c>
      <c r="AZ253" t="s">
        <v>74</v>
      </c>
      <c r="BA253" t="s">
        <v>74</v>
      </c>
      <c r="BB253">
        <v>631</v>
      </c>
      <c r="BC253">
        <v>636</v>
      </c>
      <c r="BD253" t="s">
        <v>74</v>
      </c>
      <c r="BE253" t="s">
        <v>3657</v>
      </c>
      <c r="BF253" t="str">
        <f>HYPERLINK("http://dx.doi.org/10.1007/s002270050578","http://dx.doi.org/10.1007/s002270050578")</f>
        <v>http://dx.doi.org/10.1007/s002270050578</v>
      </c>
      <c r="BG253" t="s">
        <v>74</v>
      </c>
      <c r="BH253" t="s">
        <v>74</v>
      </c>
      <c r="BI253">
        <v>6</v>
      </c>
      <c r="BJ253" t="s">
        <v>1229</v>
      </c>
      <c r="BK253" t="s">
        <v>96</v>
      </c>
      <c r="BL253" t="s">
        <v>1229</v>
      </c>
      <c r="BM253" t="s">
        <v>3658</v>
      </c>
      <c r="BN253" t="s">
        <v>74</v>
      </c>
      <c r="BO253" t="s">
        <v>74</v>
      </c>
      <c r="BP253" t="s">
        <v>74</v>
      </c>
      <c r="BQ253" t="s">
        <v>74</v>
      </c>
      <c r="BR253" t="s">
        <v>99</v>
      </c>
      <c r="BS253" t="s">
        <v>3659</v>
      </c>
      <c r="BT253" t="str">
        <f>HYPERLINK("https%3A%2F%2Fwww.webofscience.com%2Fwos%2Fwoscc%2Ffull-record%2FWOS:000082633300004","View Full Record in Web of Science")</f>
        <v>View Full Record in Web of Science</v>
      </c>
    </row>
    <row r="254" spans="1:72" x14ac:dyDescent="0.15">
      <c r="A254" t="s">
        <v>72</v>
      </c>
      <c r="B254" t="s">
        <v>3660</v>
      </c>
      <c r="C254" t="s">
        <v>74</v>
      </c>
      <c r="D254" t="s">
        <v>74</v>
      </c>
      <c r="E254" t="s">
        <v>74</v>
      </c>
      <c r="F254" t="s">
        <v>3660</v>
      </c>
      <c r="G254" t="s">
        <v>74</v>
      </c>
      <c r="H254" t="s">
        <v>74</v>
      </c>
      <c r="I254" t="s">
        <v>3661</v>
      </c>
      <c r="J254" t="s">
        <v>1218</v>
      </c>
      <c r="K254" t="s">
        <v>74</v>
      </c>
      <c r="L254" t="s">
        <v>74</v>
      </c>
      <c r="M254" t="s">
        <v>77</v>
      </c>
      <c r="N254" t="s">
        <v>78</v>
      </c>
      <c r="O254" t="s">
        <v>74</v>
      </c>
      <c r="P254" t="s">
        <v>74</v>
      </c>
      <c r="Q254" t="s">
        <v>74</v>
      </c>
      <c r="R254" t="s">
        <v>74</v>
      </c>
      <c r="S254" t="s">
        <v>74</v>
      </c>
      <c r="T254" t="s">
        <v>74</v>
      </c>
      <c r="U254" t="s">
        <v>3662</v>
      </c>
      <c r="V254" t="s">
        <v>3663</v>
      </c>
      <c r="W254" t="s">
        <v>3664</v>
      </c>
      <c r="X254" t="s">
        <v>3665</v>
      </c>
      <c r="Y254" t="s">
        <v>2310</v>
      </c>
      <c r="Z254" t="s">
        <v>74</v>
      </c>
      <c r="AA254" t="s">
        <v>3666</v>
      </c>
      <c r="AB254" t="s">
        <v>3667</v>
      </c>
      <c r="AC254" t="s">
        <v>74</v>
      </c>
      <c r="AD254" t="s">
        <v>74</v>
      </c>
      <c r="AE254" t="s">
        <v>74</v>
      </c>
      <c r="AF254" t="s">
        <v>74</v>
      </c>
      <c r="AG254">
        <v>34</v>
      </c>
      <c r="AH254">
        <v>65</v>
      </c>
      <c r="AI254">
        <v>74</v>
      </c>
      <c r="AJ254">
        <v>0</v>
      </c>
      <c r="AK254">
        <v>5</v>
      </c>
      <c r="AL254" t="s">
        <v>553</v>
      </c>
      <c r="AM254" t="s">
        <v>554</v>
      </c>
      <c r="AN254" t="s">
        <v>555</v>
      </c>
      <c r="AO254" t="s">
        <v>1225</v>
      </c>
      <c r="AP254" t="s">
        <v>74</v>
      </c>
      <c r="AQ254" t="s">
        <v>74</v>
      </c>
      <c r="AR254" t="s">
        <v>1226</v>
      </c>
      <c r="AS254" t="s">
        <v>1227</v>
      </c>
      <c r="AT254" t="s">
        <v>2982</v>
      </c>
      <c r="AU254">
        <v>1999</v>
      </c>
      <c r="AV254">
        <v>134</v>
      </c>
      <c r="AW254">
        <v>4</v>
      </c>
      <c r="AX254" t="s">
        <v>74</v>
      </c>
      <c r="AY254" t="s">
        <v>74</v>
      </c>
      <c r="AZ254" t="s">
        <v>74</v>
      </c>
      <c r="BA254" t="s">
        <v>74</v>
      </c>
      <c r="BB254">
        <v>675</v>
      </c>
      <c r="BC254">
        <v>681</v>
      </c>
      <c r="BD254" t="s">
        <v>74</v>
      </c>
      <c r="BE254" t="s">
        <v>3668</v>
      </c>
      <c r="BF254" t="str">
        <f>HYPERLINK("http://dx.doi.org/10.1007/s002270050583","http://dx.doi.org/10.1007/s002270050583")</f>
        <v>http://dx.doi.org/10.1007/s002270050583</v>
      </c>
      <c r="BG254" t="s">
        <v>74</v>
      </c>
      <c r="BH254" t="s">
        <v>74</v>
      </c>
      <c r="BI254">
        <v>7</v>
      </c>
      <c r="BJ254" t="s">
        <v>1229</v>
      </c>
      <c r="BK254" t="s">
        <v>96</v>
      </c>
      <c r="BL254" t="s">
        <v>1229</v>
      </c>
      <c r="BM254" t="s">
        <v>3658</v>
      </c>
      <c r="BN254" t="s">
        <v>74</v>
      </c>
      <c r="BO254" t="s">
        <v>74</v>
      </c>
      <c r="BP254" t="s">
        <v>74</v>
      </c>
      <c r="BQ254" t="s">
        <v>74</v>
      </c>
      <c r="BR254" t="s">
        <v>99</v>
      </c>
      <c r="BS254" t="s">
        <v>3669</v>
      </c>
      <c r="BT254" t="str">
        <f>HYPERLINK("https%3A%2F%2Fwww.webofscience.com%2Fwos%2Fwoscc%2Ffull-record%2FWOS:000082633300009","View Full Record in Web of Science")</f>
        <v>View Full Record in Web of Science</v>
      </c>
    </row>
    <row r="255" spans="1:72" x14ac:dyDescent="0.15">
      <c r="A255" t="s">
        <v>72</v>
      </c>
      <c r="B255" t="s">
        <v>3670</v>
      </c>
      <c r="C255" t="s">
        <v>74</v>
      </c>
      <c r="D255" t="s">
        <v>74</v>
      </c>
      <c r="E255" t="s">
        <v>74</v>
      </c>
      <c r="F255" t="s">
        <v>3670</v>
      </c>
      <c r="G255" t="s">
        <v>74</v>
      </c>
      <c r="H255" t="s">
        <v>74</v>
      </c>
      <c r="I255" t="s">
        <v>3671</v>
      </c>
      <c r="J255" t="s">
        <v>1218</v>
      </c>
      <c r="K255" t="s">
        <v>74</v>
      </c>
      <c r="L255" t="s">
        <v>74</v>
      </c>
      <c r="M255" t="s">
        <v>77</v>
      </c>
      <c r="N255" t="s">
        <v>78</v>
      </c>
      <c r="O255" t="s">
        <v>74</v>
      </c>
      <c r="P255" t="s">
        <v>74</v>
      </c>
      <c r="Q255" t="s">
        <v>74</v>
      </c>
      <c r="R255" t="s">
        <v>74</v>
      </c>
      <c r="S255" t="s">
        <v>74</v>
      </c>
      <c r="T255" t="s">
        <v>74</v>
      </c>
      <c r="U255" t="s">
        <v>3672</v>
      </c>
      <c r="V255" t="s">
        <v>3673</v>
      </c>
      <c r="W255" t="s">
        <v>3674</v>
      </c>
      <c r="X255" t="s">
        <v>3675</v>
      </c>
      <c r="Y255" t="s">
        <v>3676</v>
      </c>
      <c r="Z255" t="s">
        <v>74</v>
      </c>
      <c r="AA255" t="s">
        <v>3677</v>
      </c>
      <c r="AB255" t="s">
        <v>3678</v>
      </c>
      <c r="AC255" t="s">
        <v>74</v>
      </c>
      <c r="AD255" t="s">
        <v>74</v>
      </c>
      <c r="AE255" t="s">
        <v>74</v>
      </c>
      <c r="AF255" t="s">
        <v>74</v>
      </c>
      <c r="AG255">
        <v>36</v>
      </c>
      <c r="AH255">
        <v>38</v>
      </c>
      <c r="AI255">
        <v>46</v>
      </c>
      <c r="AJ255">
        <v>1</v>
      </c>
      <c r="AK255">
        <v>6</v>
      </c>
      <c r="AL255" t="s">
        <v>3679</v>
      </c>
      <c r="AM255" t="s">
        <v>3680</v>
      </c>
      <c r="AN255" t="s">
        <v>3681</v>
      </c>
      <c r="AO255" t="s">
        <v>1225</v>
      </c>
      <c r="AP255" t="s">
        <v>3682</v>
      </c>
      <c r="AQ255" t="s">
        <v>74</v>
      </c>
      <c r="AR255" t="s">
        <v>1226</v>
      </c>
      <c r="AS255" t="s">
        <v>1227</v>
      </c>
      <c r="AT255" t="s">
        <v>2982</v>
      </c>
      <c r="AU255">
        <v>1999</v>
      </c>
      <c r="AV255">
        <v>134</v>
      </c>
      <c r="AW255">
        <v>4</v>
      </c>
      <c r="AX255" t="s">
        <v>74</v>
      </c>
      <c r="AY255" t="s">
        <v>74</v>
      </c>
      <c r="AZ255" t="s">
        <v>74</v>
      </c>
      <c r="BA255" t="s">
        <v>74</v>
      </c>
      <c r="BB255">
        <v>697</v>
      </c>
      <c r="BC255">
        <v>703</v>
      </c>
      <c r="BD255" t="s">
        <v>74</v>
      </c>
      <c r="BE255" t="s">
        <v>3683</v>
      </c>
      <c r="BF255" t="str">
        <f>HYPERLINK("http://dx.doi.org/10.1007/s002270050585","http://dx.doi.org/10.1007/s002270050585")</f>
        <v>http://dx.doi.org/10.1007/s002270050585</v>
      </c>
      <c r="BG255" t="s">
        <v>74</v>
      </c>
      <c r="BH255" t="s">
        <v>74</v>
      </c>
      <c r="BI255">
        <v>7</v>
      </c>
      <c r="BJ255" t="s">
        <v>1229</v>
      </c>
      <c r="BK255" t="s">
        <v>96</v>
      </c>
      <c r="BL255" t="s">
        <v>1229</v>
      </c>
      <c r="BM255" t="s">
        <v>3658</v>
      </c>
      <c r="BN255" t="s">
        <v>74</v>
      </c>
      <c r="BO255" t="s">
        <v>74</v>
      </c>
      <c r="BP255" t="s">
        <v>74</v>
      </c>
      <c r="BQ255" t="s">
        <v>74</v>
      </c>
      <c r="BR255" t="s">
        <v>99</v>
      </c>
      <c r="BS255" t="s">
        <v>3684</v>
      </c>
      <c r="BT255" t="str">
        <f>HYPERLINK("https%3A%2F%2Fwww.webofscience.com%2Fwos%2Fwoscc%2Ffull-record%2FWOS:000082633300011","View Full Record in Web of Science")</f>
        <v>View Full Record in Web of Science</v>
      </c>
    </row>
    <row r="256" spans="1:72" x14ac:dyDescent="0.15">
      <c r="A256" t="s">
        <v>72</v>
      </c>
      <c r="B256" t="s">
        <v>3685</v>
      </c>
      <c r="C256" t="s">
        <v>74</v>
      </c>
      <c r="D256" t="s">
        <v>74</v>
      </c>
      <c r="E256" t="s">
        <v>74</v>
      </c>
      <c r="F256" t="s">
        <v>3685</v>
      </c>
      <c r="G256" t="s">
        <v>74</v>
      </c>
      <c r="H256" t="s">
        <v>74</v>
      </c>
      <c r="I256" t="s">
        <v>3686</v>
      </c>
      <c r="J256" t="s">
        <v>2338</v>
      </c>
      <c r="K256" t="s">
        <v>74</v>
      </c>
      <c r="L256" t="s">
        <v>74</v>
      </c>
      <c r="M256" t="s">
        <v>77</v>
      </c>
      <c r="N256" t="s">
        <v>78</v>
      </c>
      <c r="O256" t="s">
        <v>74</v>
      </c>
      <c r="P256" t="s">
        <v>74</v>
      </c>
      <c r="Q256" t="s">
        <v>74</v>
      </c>
      <c r="R256" t="s">
        <v>74</v>
      </c>
      <c r="S256" t="s">
        <v>74</v>
      </c>
      <c r="T256" t="s">
        <v>3687</v>
      </c>
      <c r="U256" t="s">
        <v>3688</v>
      </c>
      <c r="V256" t="s">
        <v>3689</v>
      </c>
      <c r="W256" t="s">
        <v>3690</v>
      </c>
      <c r="X256" t="s">
        <v>3691</v>
      </c>
      <c r="Y256" t="s">
        <v>3692</v>
      </c>
      <c r="Z256" t="s">
        <v>3693</v>
      </c>
      <c r="AA256" t="s">
        <v>3694</v>
      </c>
      <c r="AB256" t="s">
        <v>3695</v>
      </c>
      <c r="AC256" t="s">
        <v>74</v>
      </c>
      <c r="AD256" t="s">
        <v>74</v>
      </c>
      <c r="AE256" t="s">
        <v>74</v>
      </c>
      <c r="AF256" t="s">
        <v>74</v>
      </c>
      <c r="AG256">
        <v>47</v>
      </c>
      <c r="AH256">
        <v>39</v>
      </c>
      <c r="AI256">
        <v>42</v>
      </c>
      <c r="AJ256">
        <v>1</v>
      </c>
      <c r="AK256">
        <v>13</v>
      </c>
      <c r="AL256" t="s">
        <v>210</v>
      </c>
      <c r="AM256" t="s">
        <v>211</v>
      </c>
      <c r="AN256" t="s">
        <v>212</v>
      </c>
      <c r="AO256" t="s">
        <v>2349</v>
      </c>
      <c r="AP256" t="s">
        <v>2350</v>
      </c>
      <c r="AQ256" t="s">
        <v>74</v>
      </c>
      <c r="AR256" t="s">
        <v>2351</v>
      </c>
      <c r="AS256" t="s">
        <v>2352</v>
      </c>
      <c r="AT256" t="s">
        <v>3533</v>
      </c>
      <c r="AU256">
        <v>1999</v>
      </c>
      <c r="AV256">
        <v>160</v>
      </c>
      <c r="AW256" t="s">
        <v>141</v>
      </c>
      <c r="AX256" t="s">
        <v>74</v>
      </c>
      <c r="AY256" t="s">
        <v>74</v>
      </c>
      <c r="AZ256" t="s">
        <v>74</v>
      </c>
      <c r="BA256" t="s">
        <v>74</v>
      </c>
      <c r="BB256">
        <v>199</v>
      </c>
      <c r="BC256">
        <v>223</v>
      </c>
      <c r="BD256" t="s">
        <v>74</v>
      </c>
      <c r="BE256" t="s">
        <v>3696</v>
      </c>
      <c r="BF256" t="str">
        <f>HYPERLINK("http://dx.doi.org/10.1016/S0025-3227(99)00027-4","http://dx.doi.org/10.1016/S0025-3227(99)00027-4")</f>
        <v>http://dx.doi.org/10.1016/S0025-3227(99)00027-4</v>
      </c>
      <c r="BG256" t="s">
        <v>74</v>
      </c>
      <c r="BH256" t="s">
        <v>74</v>
      </c>
      <c r="BI256">
        <v>25</v>
      </c>
      <c r="BJ256" t="s">
        <v>2355</v>
      </c>
      <c r="BK256" t="s">
        <v>96</v>
      </c>
      <c r="BL256" t="s">
        <v>2356</v>
      </c>
      <c r="BM256" t="s">
        <v>3697</v>
      </c>
      <c r="BN256" t="s">
        <v>74</v>
      </c>
      <c r="BO256" t="s">
        <v>74</v>
      </c>
      <c r="BP256" t="s">
        <v>74</v>
      </c>
      <c r="BQ256" t="s">
        <v>74</v>
      </c>
      <c r="BR256" t="s">
        <v>99</v>
      </c>
      <c r="BS256" t="s">
        <v>3698</v>
      </c>
      <c r="BT256" t="str">
        <f>HYPERLINK("https%3A%2F%2Fwww.webofscience.com%2Fwos%2Fwoscc%2Ffull-record%2FWOS:000082385600001","View Full Record in Web of Science")</f>
        <v>View Full Record in Web of Science</v>
      </c>
    </row>
    <row r="257" spans="1:72" x14ac:dyDescent="0.15">
      <c r="A257" t="s">
        <v>72</v>
      </c>
      <c r="B257" t="s">
        <v>3699</v>
      </c>
      <c r="C257" t="s">
        <v>74</v>
      </c>
      <c r="D257" t="s">
        <v>74</v>
      </c>
      <c r="E257" t="s">
        <v>74</v>
      </c>
      <c r="F257" t="s">
        <v>3699</v>
      </c>
      <c r="G257" t="s">
        <v>74</v>
      </c>
      <c r="H257" t="s">
        <v>74</v>
      </c>
      <c r="I257" t="s">
        <v>3700</v>
      </c>
      <c r="J257" t="s">
        <v>2455</v>
      </c>
      <c r="K257" t="s">
        <v>74</v>
      </c>
      <c r="L257" t="s">
        <v>74</v>
      </c>
      <c r="M257" t="s">
        <v>77</v>
      </c>
      <c r="N257" t="s">
        <v>78</v>
      </c>
      <c r="O257" t="s">
        <v>74</v>
      </c>
      <c r="P257" t="s">
        <v>74</v>
      </c>
      <c r="Q257" t="s">
        <v>74</v>
      </c>
      <c r="R257" t="s">
        <v>74</v>
      </c>
      <c r="S257" t="s">
        <v>74</v>
      </c>
      <c r="T257" t="s">
        <v>74</v>
      </c>
      <c r="U257" t="s">
        <v>3701</v>
      </c>
      <c r="V257" t="s">
        <v>3702</v>
      </c>
      <c r="W257" t="s">
        <v>3703</v>
      </c>
      <c r="X257" t="s">
        <v>3704</v>
      </c>
      <c r="Y257" t="s">
        <v>3705</v>
      </c>
      <c r="Z257" t="s">
        <v>74</v>
      </c>
      <c r="AA257" t="s">
        <v>3706</v>
      </c>
      <c r="AB257" t="s">
        <v>3707</v>
      </c>
      <c r="AC257" t="s">
        <v>74</v>
      </c>
      <c r="AD257" t="s">
        <v>74</v>
      </c>
      <c r="AE257" t="s">
        <v>74</v>
      </c>
      <c r="AF257" t="s">
        <v>74</v>
      </c>
      <c r="AG257">
        <v>40</v>
      </c>
      <c r="AH257">
        <v>45</v>
      </c>
      <c r="AI257">
        <v>47</v>
      </c>
      <c r="AJ257">
        <v>0</v>
      </c>
      <c r="AK257">
        <v>8</v>
      </c>
      <c r="AL257" t="s">
        <v>86</v>
      </c>
      <c r="AM257" t="s">
        <v>87</v>
      </c>
      <c r="AN257" t="s">
        <v>88</v>
      </c>
      <c r="AO257" t="s">
        <v>2464</v>
      </c>
      <c r="AP257" t="s">
        <v>74</v>
      </c>
      <c r="AQ257" t="s">
        <v>74</v>
      </c>
      <c r="AR257" t="s">
        <v>2466</v>
      </c>
      <c r="AS257" t="s">
        <v>2467</v>
      </c>
      <c r="AT257" t="s">
        <v>2982</v>
      </c>
      <c r="AU257">
        <v>1999</v>
      </c>
      <c r="AV257">
        <v>127</v>
      </c>
      <c r="AW257">
        <v>9</v>
      </c>
      <c r="AX257" t="s">
        <v>74</v>
      </c>
      <c r="AY257" t="s">
        <v>74</v>
      </c>
      <c r="AZ257" t="s">
        <v>74</v>
      </c>
      <c r="BA257" t="s">
        <v>74</v>
      </c>
      <c r="BB257">
        <v>1994</v>
      </c>
      <c r="BC257">
        <v>2011</v>
      </c>
      <c r="BD257" t="s">
        <v>74</v>
      </c>
      <c r="BE257" t="s">
        <v>3708</v>
      </c>
      <c r="BF257" t="str">
        <f>HYPERLINK("http://dx.doi.org/10.1175/1520-0493(1999)127&lt;1994:EOARAM&gt;2.0.CO;2","http://dx.doi.org/10.1175/1520-0493(1999)127&lt;1994:EOARAM&gt;2.0.CO;2")</f>
        <v>http://dx.doi.org/10.1175/1520-0493(1999)127&lt;1994:EOARAM&gt;2.0.CO;2</v>
      </c>
      <c r="BG257" t="s">
        <v>74</v>
      </c>
      <c r="BH257" t="s">
        <v>74</v>
      </c>
      <c r="BI257">
        <v>18</v>
      </c>
      <c r="BJ257" t="s">
        <v>95</v>
      </c>
      <c r="BK257" t="s">
        <v>96</v>
      </c>
      <c r="BL257" t="s">
        <v>95</v>
      </c>
      <c r="BM257" t="s">
        <v>3709</v>
      </c>
      <c r="BN257" t="s">
        <v>74</v>
      </c>
      <c r="BO257" t="s">
        <v>98</v>
      </c>
      <c r="BP257" t="s">
        <v>74</v>
      </c>
      <c r="BQ257" t="s">
        <v>74</v>
      </c>
      <c r="BR257" t="s">
        <v>99</v>
      </c>
      <c r="BS257" t="s">
        <v>3710</v>
      </c>
      <c r="BT257" t="str">
        <f>HYPERLINK("https%3A%2F%2Fwww.webofscience.com%2Fwos%2Fwoscc%2Ffull-record%2FWOS:000082851600005","View Full Record in Web of Science")</f>
        <v>View Full Record in Web of Science</v>
      </c>
    </row>
    <row r="258" spans="1:72" x14ac:dyDescent="0.15">
      <c r="A258" t="s">
        <v>72</v>
      </c>
      <c r="B258" t="s">
        <v>3711</v>
      </c>
      <c r="C258" t="s">
        <v>74</v>
      </c>
      <c r="D258" t="s">
        <v>74</v>
      </c>
      <c r="E258" t="s">
        <v>74</v>
      </c>
      <c r="F258" t="s">
        <v>3711</v>
      </c>
      <c r="G258" t="s">
        <v>74</v>
      </c>
      <c r="H258" t="s">
        <v>74</v>
      </c>
      <c r="I258" t="s">
        <v>2472</v>
      </c>
      <c r="J258" t="s">
        <v>2473</v>
      </c>
      <c r="K258" t="s">
        <v>74</v>
      </c>
      <c r="L258" t="s">
        <v>74</v>
      </c>
      <c r="M258" t="s">
        <v>77</v>
      </c>
      <c r="N258" t="s">
        <v>2339</v>
      </c>
      <c r="O258" t="s">
        <v>74</v>
      </c>
      <c r="P258" t="s">
        <v>74</v>
      </c>
      <c r="Q258" t="s">
        <v>74</v>
      </c>
      <c r="R258" t="s">
        <v>74</v>
      </c>
      <c r="S258" t="s">
        <v>74</v>
      </c>
      <c r="T258" t="s">
        <v>74</v>
      </c>
      <c r="U258" t="s">
        <v>74</v>
      </c>
      <c r="V258" t="s">
        <v>74</v>
      </c>
      <c r="W258" t="s">
        <v>74</v>
      </c>
      <c r="X258" t="s">
        <v>74</v>
      </c>
      <c r="Y258" t="s">
        <v>74</v>
      </c>
      <c r="Z258" t="s">
        <v>74</v>
      </c>
      <c r="AA258" t="s">
        <v>74</v>
      </c>
      <c r="AB258" t="s">
        <v>74</v>
      </c>
      <c r="AC258" t="s">
        <v>74</v>
      </c>
      <c r="AD258" t="s">
        <v>74</v>
      </c>
      <c r="AE258" t="s">
        <v>74</v>
      </c>
      <c r="AF258" t="s">
        <v>74</v>
      </c>
      <c r="AG258">
        <v>3</v>
      </c>
      <c r="AH258">
        <v>0</v>
      </c>
      <c r="AI258">
        <v>0</v>
      </c>
      <c r="AJ258">
        <v>0</v>
      </c>
      <c r="AK258">
        <v>0</v>
      </c>
      <c r="AL258" t="s">
        <v>2474</v>
      </c>
      <c r="AM258" t="s">
        <v>2369</v>
      </c>
      <c r="AN258" t="s">
        <v>2475</v>
      </c>
      <c r="AO258" t="s">
        <v>2476</v>
      </c>
      <c r="AP258" t="s">
        <v>74</v>
      </c>
      <c r="AQ258" t="s">
        <v>74</v>
      </c>
      <c r="AR258" t="s">
        <v>2473</v>
      </c>
      <c r="AS258" t="s">
        <v>2477</v>
      </c>
      <c r="AT258" t="s">
        <v>2982</v>
      </c>
      <c r="AU258">
        <v>1999</v>
      </c>
      <c r="AV258">
        <v>45</v>
      </c>
      <c r="AW258">
        <v>3</v>
      </c>
      <c r="AX258" t="s">
        <v>74</v>
      </c>
      <c r="AY258" t="s">
        <v>74</v>
      </c>
      <c r="AZ258" t="s">
        <v>74</v>
      </c>
      <c r="BA258" t="s">
        <v>74</v>
      </c>
      <c r="BB258">
        <v>676</v>
      </c>
      <c r="BC258">
        <v>677</v>
      </c>
      <c r="BD258" t="s">
        <v>74</v>
      </c>
      <c r="BE258" t="s">
        <v>3712</v>
      </c>
      <c r="BF258" t="str">
        <f>HYPERLINK("http://dx.doi.org/10.1097/00006123-199909000-00062","http://dx.doi.org/10.1097/00006123-199909000-00062")</f>
        <v>http://dx.doi.org/10.1097/00006123-199909000-00062</v>
      </c>
      <c r="BG258" t="s">
        <v>74</v>
      </c>
      <c r="BH258" t="s">
        <v>74</v>
      </c>
      <c r="BI258">
        <v>2</v>
      </c>
      <c r="BJ258" t="s">
        <v>2479</v>
      </c>
      <c r="BK258" t="s">
        <v>96</v>
      </c>
      <c r="BL258" t="s">
        <v>2480</v>
      </c>
      <c r="BM258" t="s">
        <v>3713</v>
      </c>
      <c r="BN258">
        <v>10493396</v>
      </c>
      <c r="BO258" t="s">
        <v>98</v>
      </c>
      <c r="BP258" t="s">
        <v>74</v>
      </c>
      <c r="BQ258" t="s">
        <v>74</v>
      </c>
      <c r="BR258" t="s">
        <v>99</v>
      </c>
      <c r="BS258" t="s">
        <v>3714</v>
      </c>
      <c r="BT258" t="str">
        <f>HYPERLINK("https%3A%2F%2Fwww.webofscience.com%2Fwos%2Fwoscc%2Ffull-record%2FWOS:000082546000128","View Full Record in Web of Science")</f>
        <v>View Full Record in Web of Science</v>
      </c>
    </row>
    <row r="259" spans="1:72" x14ac:dyDescent="0.15">
      <c r="A259" t="s">
        <v>72</v>
      </c>
      <c r="B259" t="s">
        <v>3715</v>
      </c>
      <c r="C259" t="s">
        <v>74</v>
      </c>
      <c r="D259" t="s">
        <v>74</v>
      </c>
      <c r="E259" t="s">
        <v>74</v>
      </c>
      <c r="F259" t="s">
        <v>3715</v>
      </c>
      <c r="G259" t="s">
        <v>74</v>
      </c>
      <c r="H259" t="s">
        <v>74</v>
      </c>
      <c r="I259" t="s">
        <v>3716</v>
      </c>
      <c r="J259" t="s">
        <v>2473</v>
      </c>
      <c r="K259" t="s">
        <v>74</v>
      </c>
      <c r="L259" t="s">
        <v>74</v>
      </c>
      <c r="M259" t="s">
        <v>77</v>
      </c>
      <c r="N259" t="s">
        <v>2339</v>
      </c>
      <c r="O259" t="s">
        <v>74</v>
      </c>
      <c r="P259" t="s">
        <v>74</v>
      </c>
      <c r="Q259" t="s">
        <v>74</v>
      </c>
      <c r="R259" t="s">
        <v>74</v>
      </c>
      <c r="S259" t="s">
        <v>74</v>
      </c>
      <c r="T259" t="s">
        <v>74</v>
      </c>
      <c r="U259" t="s">
        <v>74</v>
      </c>
      <c r="V259" t="s">
        <v>74</v>
      </c>
      <c r="W259" t="s">
        <v>74</v>
      </c>
      <c r="X259" t="s">
        <v>74</v>
      </c>
      <c r="Y259" t="s">
        <v>74</v>
      </c>
      <c r="Z259" t="s">
        <v>74</v>
      </c>
      <c r="AA259" t="s">
        <v>74</v>
      </c>
      <c r="AB259" t="s">
        <v>74</v>
      </c>
      <c r="AC259" t="s">
        <v>74</v>
      </c>
      <c r="AD259" t="s">
        <v>74</v>
      </c>
      <c r="AE259" t="s">
        <v>74</v>
      </c>
      <c r="AF259" t="s">
        <v>74</v>
      </c>
      <c r="AG259">
        <v>6</v>
      </c>
      <c r="AH259">
        <v>0</v>
      </c>
      <c r="AI259">
        <v>0</v>
      </c>
      <c r="AJ259">
        <v>0</v>
      </c>
      <c r="AK259">
        <v>0</v>
      </c>
      <c r="AL259" t="s">
        <v>2474</v>
      </c>
      <c r="AM259" t="s">
        <v>2369</v>
      </c>
      <c r="AN259" t="s">
        <v>2475</v>
      </c>
      <c r="AO259" t="s">
        <v>2476</v>
      </c>
      <c r="AP259" t="s">
        <v>74</v>
      </c>
      <c r="AQ259" t="s">
        <v>74</v>
      </c>
      <c r="AR259" t="s">
        <v>2473</v>
      </c>
      <c r="AS259" t="s">
        <v>2477</v>
      </c>
      <c r="AT259" t="s">
        <v>2982</v>
      </c>
      <c r="AU259">
        <v>1999</v>
      </c>
      <c r="AV259">
        <v>45</v>
      </c>
      <c r="AW259">
        <v>3</v>
      </c>
      <c r="AX259" t="s">
        <v>74</v>
      </c>
      <c r="AY259" t="s">
        <v>74</v>
      </c>
      <c r="AZ259" t="s">
        <v>74</v>
      </c>
      <c r="BA259" t="s">
        <v>74</v>
      </c>
      <c r="BB259">
        <v>677</v>
      </c>
      <c r="BC259">
        <v>677</v>
      </c>
      <c r="BD259" t="s">
        <v>74</v>
      </c>
      <c r="BE259" t="s">
        <v>74</v>
      </c>
      <c r="BF259" t="s">
        <v>74</v>
      </c>
      <c r="BG259" t="s">
        <v>74</v>
      </c>
      <c r="BH259" t="s">
        <v>74</v>
      </c>
      <c r="BI259">
        <v>1</v>
      </c>
      <c r="BJ259" t="s">
        <v>2479</v>
      </c>
      <c r="BK259" t="s">
        <v>96</v>
      </c>
      <c r="BL259" t="s">
        <v>2480</v>
      </c>
      <c r="BM259" t="s">
        <v>3713</v>
      </c>
      <c r="BN259" t="s">
        <v>74</v>
      </c>
      <c r="BO259" t="s">
        <v>74</v>
      </c>
      <c r="BP259" t="s">
        <v>74</v>
      </c>
      <c r="BQ259" t="s">
        <v>74</v>
      </c>
      <c r="BR259" t="s">
        <v>99</v>
      </c>
      <c r="BS259" t="s">
        <v>3717</v>
      </c>
      <c r="BT259" t="str">
        <f>HYPERLINK("https%3A%2F%2Fwww.webofscience.com%2Fwos%2Fwoscc%2Ffull-record%2FWOS:000082546000129","View Full Record in Web of Science")</f>
        <v>View Full Record in Web of Science</v>
      </c>
    </row>
    <row r="260" spans="1:72" x14ac:dyDescent="0.15">
      <c r="A260" t="s">
        <v>72</v>
      </c>
      <c r="B260" t="s">
        <v>3718</v>
      </c>
      <c r="C260" t="s">
        <v>74</v>
      </c>
      <c r="D260" t="s">
        <v>74</v>
      </c>
      <c r="E260" t="s">
        <v>74</v>
      </c>
      <c r="F260" t="s">
        <v>3718</v>
      </c>
      <c r="G260" t="s">
        <v>74</v>
      </c>
      <c r="H260" t="s">
        <v>74</v>
      </c>
      <c r="I260" t="s">
        <v>3719</v>
      </c>
      <c r="J260" t="s">
        <v>3720</v>
      </c>
      <c r="K260" t="s">
        <v>74</v>
      </c>
      <c r="L260" t="s">
        <v>74</v>
      </c>
      <c r="M260" t="s">
        <v>77</v>
      </c>
      <c r="N260" t="s">
        <v>78</v>
      </c>
      <c r="O260" t="s">
        <v>74</v>
      </c>
      <c r="P260" t="s">
        <v>74</v>
      </c>
      <c r="Q260" t="s">
        <v>74</v>
      </c>
      <c r="R260" t="s">
        <v>74</v>
      </c>
      <c r="S260" t="s">
        <v>74</v>
      </c>
      <c r="T260" t="s">
        <v>3721</v>
      </c>
      <c r="U260" t="s">
        <v>3722</v>
      </c>
      <c r="V260" t="s">
        <v>3723</v>
      </c>
      <c r="W260" t="s">
        <v>3724</v>
      </c>
      <c r="X260" t="s">
        <v>74</v>
      </c>
      <c r="Y260" t="s">
        <v>3725</v>
      </c>
      <c r="Z260" t="s">
        <v>74</v>
      </c>
      <c r="AA260" t="s">
        <v>3726</v>
      </c>
      <c r="AB260" t="s">
        <v>3727</v>
      </c>
      <c r="AC260" t="s">
        <v>74</v>
      </c>
      <c r="AD260" t="s">
        <v>74</v>
      </c>
      <c r="AE260" t="s">
        <v>74</v>
      </c>
      <c r="AF260" t="s">
        <v>74</v>
      </c>
      <c r="AG260">
        <v>21</v>
      </c>
      <c r="AH260">
        <v>14</v>
      </c>
      <c r="AI260">
        <v>15</v>
      </c>
      <c r="AJ260">
        <v>4</v>
      </c>
      <c r="AK260">
        <v>38</v>
      </c>
      <c r="AL260" t="s">
        <v>1645</v>
      </c>
      <c r="AM260" t="s">
        <v>1646</v>
      </c>
      <c r="AN260" t="s">
        <v>1647</v>
      </c>
      <c r="AO260" t="s">
        <v>3728</v>
      </c>
      <c r="AP260" t="s">
        <v>3729</v>
      </c>
      <c r="AQ260" t="s">
        <v>74</v>
      </c>
      <c r="AR260" t="s">
        <v>3730</v>
      </c>
      <c r="AS260" t="s">
        <v>3731</v>
      </c>
      <c r="AT260" t="s">
        <v>2982</v>
      </c>
      <c r="AU260">
        <v>1999</v>
      </c>
      <c r="AV260">
        <v>33</v>
      </c>
      <c r="AW260">
        <v>3</v>
      </c>
      <c r="AX260" t="s">
        <v>74</v>
      </c>
      <c r="AY260" t="s">
        <v>74</v>
      </c>
      <c r="AZ260" t="s">
        <v>74</v>
      </c>
      <c r="BA260" t="s">
        <v>74</v>
      </c>
      <c r="BB260">
        <v>515</v>
      </c>
      <c r="BC260">
        <v>520</v>
      </c>
      <c r="BD260" t="s">
        <v>74</v>
      </c>
      <c r="BE260" t="s">
        <v>3732</v>
      </c>
      <c r="BF260" t="str">
        <f>HYPERLINK("http://dx.doi.org/10.1080/00288330.1999.9516896","http://dx.doi.org/10.1080/00288330.1999.9516896")</f>
        <v>http://dx.doi.org/10.1080/00288330.1999.9516896</v>
      </c>
      <c r="BG260" t="s">
        <v>74</v>
      </c>
      <c r="BH260" t="s">
        <v>74</v>
      </c>
      <c r="BI260">
        <v>6</v>
      </c>
      <c r="BJ260" t="s">
        <v>2176</v>
      </c>
      <c r="BK260" t="s">
        <v>96</v>
      </c>
      <c r="BL260" t="s">
        <v>2176</v>
      </c>
      <c r="BM260" t="s">
        <v>3733</v>
      </c>
      <c r="BN260" t="s">
        <v>74</v>
      </c>
      <c r="BO260" t="s">
        <v>250</v>
      </c>
      <c r="BP260" t="s">
        <v>74</v>
      </c>
      <c r="BQ260" t="s">
        <v>74</v>
      </c>
      <c r="BR260" t="s">
        <v>99</v>
      </c>
      <c r="BS260" t="s">
        <v>3734</v>
      </c>
      <c r="BT260" t="str">
        <f>HYPERLINK("https%3A%2F%2Fwww.webofscience.com%2Fwos%2Fwoscc%2Ffull-record%2FWOS:000083091200017","View Full Record in Web of Science")</f>
        <v>View Full Record in Web of Science</v>
      </c>
    </row>
    <row r="261" spans="1:72" x14ac:dyDescent="0.15">
      <c r="A261" t="s">
        <v>72</v>
      </c>
      <c r="B261" t="s">
        <v>3735</v>
      </c>
      <c r="C261" t="s">
        <v>74</v>
      </c>
      <c r="D261" t="s">
        <v>74</v>
      </c>
      <c r="E261" t="s">
        <v>74</v>
      </c>
      <c r="F261" t="s">
        <v>3735</v>
      </c>
      <c r="G261" t="s">
        <v>74</v>
      </c>
      <c r="H261" t="s">
        <v>74</v>
      </c>
      <c r="I261" t="s">
        <v>3736</v>
      </c>
      <c r="J261" t="s">
        <v>1308</v>
      </c>
      <c r="K261" t="s">
        <v>74</v>
      </c>
      <c r="L261" t="s">
        <v>74</v>
      </c>
      <c r="M261" t="s">
        <v>77</v>
      </c>
      <c r="N261" t="s">
        <v>78</v>
      </c>
      <c r="O261" t="s">
        <v>74</v>
      </c>
      <c r="P261" t="s">
        <v>74</v>
      </c>
      <c r="Q261" t="s">
        <v>74</v>
      </c>
      <c r="R261" t="s">
        <v>74</v>
      </c>
      <c r="S261" t="s">
        <v>74</v>
      </c>
      <c r="T261" t="s">
        <v>3737</v>
      </c>
      <c r="U261" t="s">
        <v>3738</v>
      </c>
      <c r="V261" t="s">
        <v>3739</v>
      </c>
      <c r="W261" t="s">
        <v>3740</v>
      </c>
      <c r="X261" t="s">
        <v>3741</v>
      </c>
      <c r="Y261" t="s">
        <v>3742</v>
      </c>
      <c r="Z261" t="s">
        <v>74</v>
      </c>
      <c r="AA261" t="s">
        <v>3743</v>
      </c>
      <c r="AB261" t="s">
        <v>3744</v>
      </c>
      <c r="AC261" t="s">
        <v>74</v>
      </c>
      <c r="AD261" t="s">
        <v>74</v>
      </c>
      <c r="AE261" t="s">
        <v>74</v>
      </c>
      <c r="AF261" t="s">
        <v>74</v>
      </c>
      <c r="AG261">
        <v>42</v>
      </c>
      <c r="AH261">
        <v>18</v>
      </c>
      <c r="AI261">
        <v>21</v>
      </c>
      <c r="AJ261">
        <v>1</v>
      </c>
      <c r="AK261">
        <v>17</v>
      </c>
      <c r="AL261" t="s">
        <v>705</v>
      </c>
      <c r="AM261" t="s">
        <v>554</v>
      </c>
      <c r="AN261" t="s">
        <v>1242</v>
      </c>
      <c r="AO261" t="s">
        <v>1317</v>
      </c>
      <c r="AP261" t="s">
        <v>3745</v>
      </c>
      <c r="AQ261" t="s">
        <v>74</v>
      </c>
      <c r="AR261" t="s">
        <v>1308</v>
      </c>
      <c r="AS261" t="s">
        <v>1318</v>
      </c>
      <c r="AT261" t="s">
        <v>2982</v>
      </c>
      <c r="AU261">
        <v>1999</v>
      </c>
      <c r="AV261">
        <v>120</v>
      </c>
      <c r="AW261">
        <v>4</v>
      </c>
      <c r="AX261" t="s">
        <v>74</v>
      </c>
      <c r="AY261" t="s">
        <v>74</v>
      </c>
      <c r="AZ261" t="s">
        <v>74</v>
      </c>
      <c r="BA261" t="s">
        <v>74</v>
      </c>
      <c r="BB261">
        <v>499</v>
      </c>
      <c r="BC261">
        <v>505</v>
      </c>
      <c r="BD261" t="s">
        <v>74</v>
      </c>
      <c r="BE261" t="s">
        <v>3746</v>
      </c>
      <c r="BF261" t="str">
        <f>HYPERLINK("http://dx.doi.org/10.1007/s004420050883","http://dx.doi.org/10.1007/s004420050883")</f>
        <v>http://dx.doi.org/10.1007/s004420050883</v>
      </c>
      <c r="BG261" t="s">
        <v>74</v>
      </c>
      <c r="BH261" t="s">
        <v>74</v>
      </c>
      <c r="BI261">
        <v>7</v>
      </c>
      <c r="BJ261" t="s">
        <v>868</v>
      </c>
      <c r="BK261" t="s">
        <v>96</v>
      </c>
      <c r="BL261" t="s">
        <v>761</v>
      </c>
      <c r="BM261" t="s">
        <v>3747</v>
      </c>
      <c r="BN261">
        <v>28308299</v>
      </c>
      <c r="BO261" t="s">
        <v>74</v>
      </c>
      <c r="BP261" t="s">
        <v>74</v>
      </c>
      <c r="BQ261" t="s">
        <v>74</v>
      </c>
      <c r="BR261" t="s">
        <v>99</v>
      </c>
      <c r="BS261" t="s">
        <v>3748</v>
      </c>
      <c r="BT261" t="str">
        <f>HYPERLINK("https%3A%2F%2Fwww.webofscience.com%2Fwos%2Fwoscc%2Ffull-record%2FWOS:000082858900004","View Full Record in Web of Science")</f>
        <v>View Full Record in Web of Science</v>
      </c>
    </row>
    <row r="262" spans="1:72" x14ac:dyDescent="0.15">
      <c r="A262" t="s">
        <v>72</v>
      </c>
      <c r="B262" t="s">
        <v>3749</v>
      </c>
      <c r="C262" t="s">
        <v>74</v>
      </c>
      <c r="D262" t="s">
        <v>74</v>
      </c>
      <c r="E262" t="s">
        <v>74</v>
      </c>
      <c r="F262" t="s">
        <v>3749</v>
      </c>
      <c r="G262" t="s">
        <v>74</v>
      </c>
      <c r="H262" t="s">
        <v>74</v>
      </c>
      <c r="I262" t="s">
        <v>3750</v>
      </c>
      <c r="J262" t="s">
        <v>2496</v>
      </c>
      <c r="K262" t="s">
        <v>74</v>
      </c>
      <c r="L262" t="s">
        <v>74</v>
      </c>
      <c r="M262" t="s">
        <v>77</v>
      </c>
      <c r="N262" t="s">
        <v>78</v>
      </c>
      <c r="O262" t="s">
        <v>74</v>
      </c>
      <c r="P262" t="s">
        <v>74</v>
      </c>
      <c r="Q262" t="s">
        <v>74</v>
      </c>
      <c r="R262" t="s">
        <v>74</v>
      </c>
      <c r="S262" t="s">
        <v>74</v>
      </c>
      <c r="T262" t="s">
        <v>74</v>
      </c>
      <c r="U262" t="s">
        <v>3751</v>
      </c>
      <c r="V262" t="s">
        <v>3752</v>
      </c>
      <c r="W262" t="s">
        <v>3753</v>
      </c>
      <c r="X262" t="s">
        <v>82</v>
      </c>
      <c r="Y262" t="s">
        <v>3754</v>
      </c>
      <c r="Z262" t="s">
        <v>74</v>
      </c>
      <c r="AA262" t="s">
        <v>74</v>
      </c>
      <c r="AB262" t="s">
        <v>74</v>
      </c>
      <c r="AC262" t="s">
        <v>74</v>
      </c>
      <c r="AD262" t="s">
        <v>74</v>
      </c>
      <c r="AE262" t="s">
        <v>74</v>
      </c>
      <c r="AF262" t="s">
        <v>74</v>
      </c>
      <c r="AG262">
        <v>24</v>
      </c>
      <c r="AH262">
        <v>11</v>
      </c>
      <c r="AI262">
        <v>11</v>
      </c>
      <c r="AJ262">
        <v>0</v>
      </c>
      <c r="AK262">
        <v>2</v>
      </c>
      <c r="AL262" t="s">
        <v>2504</v>
      </c>
      <c r="AM262" t="s">
        <v>2505</v>
      </c>
      <c r="AN262" t="s">
        <v>3407</v>
      </c>
      <c r="AO262" t="s">
        <v>2507</v>
      </c>
      <c r="AP262" t="s">
        <v>74</v>
      </c>
      <c r="AQ262" t="s">
        <v>74</v>
      </c>
      <c r="AR262" t="s">
        <v>2509</v>
      </c>
      <c r="AS262" t="s">
        <v>3755</v>
      </c>
      <c r="AT262" t="s">
        <v>3533</v>
      </c>
      <c r="AU262">
        <v>1999</v>
      </c>
      <c r="AV262">
        <v>1</v>
      </c>
      <c r="AW262">
        <v>17</v>
      </c>
      <c r="AX262" t="s">
        <v>74</v>
      </c>
      <c r="AY262" t="s">
        <v>74</v>
      </c>
      <c r="AZ262" t="s">
        <v>74</v>
      </c>
      <c r="BA262" t="s">
        <v>74</v>
      </c>
      <c r="BB262">
        <v>3973</v>
      </c>
      <c r="BC262">
        <v>3979</v>
      </c>
      <c r="BD262" t="s">
        <v>74</v>
      </c>
      <c r="BE262" t="s">
        <v>3756</v>
      </c>
      <c r="BF262" t="str">
        <f>HYPERLINK("http://dx.doi.org/10.1039/a904093e","http://dx.doi.org/10.1039/a904093e")</f>
        <v>http://dx.doi.org/10.1039/a904093e</v>
      </c>
      <c r="BG262" t="s">
        <v>74</v>
      </c>
      <c r="BH262" t="s">
        <v>74</v>
      </c>
      <c r="BI262">
        <v>7</v>
      </c>
      <c r="BJ262" t="s">
        <v>372</v>
      </c>
      <c r="BK262" t="s">
        <v>96</v>
      </c>
      <c r="BL262" t="s">
        <v>373</v>
      </c>
      <c r="BM262" t="s">
        <v>3757</v>
      </c>
      <c r="BN262" t="s">
        <v>74</v>
      </c>
      <c r="BO262" t="s">
        <v>74</v>
      </c>
      <c r="BP262" t="s">
        <v>74</v>
      </c>
      <c r="BQ262" t="s">
        <v>74</v>
      </c>
      <c r="BR262" t="s">
        <v>99</v>
      </c>
      <c r="BS262" t="s">
        <v>3758</v>
      </c>
      <c r="BT262" t="str">
        <f>HYPERLINK("https%3A%2F%2Fwww.webofscience.com%2Fwos%2Fwoscc%2Ffull-record%2FWOS:000082197200019","View Full Record in Web of Science")</f>
        <v>View Full Record in Web of Science</v>
      </c>
    </row>
    <row r="263" spans="1:72" x14ac:dyDescent="0.15">
      <c r="A263" t="s">
        <v>72</v>
      </c>
      <c r="B263" t="s">
        <v>3759</v>
      </c>
      <c r="C263" t="s">
        <v>74</v>
      </c>
      <c r="D263" t="s">
        <v>74</v>
      </c>
      <c r="E263" t="s">
        <v>74</v>
      </c>
      <c r="F263" t="s">
        <v>3759</v>
      </c>
      <c r="G263" t="s">
        <v>74</v>
      </c>
      <c r="H263" t="s">
        <v>74</v>
      </c>
      <c r="I263" t="s">
        <v>3760</v>
      </c>
      <c r="J263" t="s">
        <v>3761</v>
      </c>
      <c r="K263" t="s">
        <v>74</v>
      </c>
      <c r="L263" t="s">
        <v>74</v>
      </c>
      <c r="M263" t="s">
        <v>77</v>
      </c>
      <c r="N263" t="s">
        <v>123</v>
      </c>
      <c r="O263" t="s">
        <v>3762</v>
      </c>
      <c r="P263" t="s">
        <v>3763</v>
      </c>
      <c r="Q263" t="s">
        <v>3764</v>
      </c>
      <c r="R263" t="s">
        <v>74</v>
      </c>
      <c r="S263" t="s">
        <v>74</v>
      </c>
      <c r="T263" t="s">
        <v>3765</v>
      </c>
      <c r="U263" t="s">
        <v>3766</v>
      </c>
      <c r="V263" t="s">
        <v>3767</v>
      </c>
      <c r="W263" t="s">
        <v>3768</v>
      </c>
      <c r="X263" t="s">
        <v>3769</v>
      </c>
      <c r="Y263" t="s">
        <v>3770</v>
      </c>
      <c r="Z263" t="s">
        <v>74</v>
      </c>
      <c r="AA263" t="s">
        <v>74</v>
      </c>
      <c r="AB263" t="s">
        <v>74</v>
      </c>
      <c r="AC263" t="s">
        <v>74</v>
      </c>
      <c r="AD263" t="s">
        <v>74</v>
      </c>
      <c r="AE263" t="s">
        <v>74</v>
      </c>
      <c r="AF263" t="s">
        <v>74</v>
      </c>
      <c r="AG263">
        <v>23</v>
      </c>
      <c r="AH263">
        <v>6</v>
      </c>
      <c r="AI263">
        <v>7</v>
      </c>
      <c r="AJ263">
        <v>0</v>
      </c>
      <c r="AK263">
        <v>11</v>
      </c>
      <c r="AL263" t="s">
        <v>210</v>
      </c>
      <c r="AM263" t="s">
        <v>211</v>
      </c>
      <c r="AN263" t="s">
        <v>212</v>
      </c>
      <c r="AO263" t="s">
        <v>3771</v>
      </c>
      <c r="AP263" t="s">
        <v>74</v>
      </c>
      <c r="AQ263" t="s">
        <v>74</v>
      </c>
      <c r="AR263" t="s">
        <v>3772</v>
      </c>
      <c r="AS263" t="s">
        <v>3773</v>
      </c>
      <c r="AT263" t="s">
        <v>2982</v>
      </c>
      <c r="AU263">
        <v>1999</v>
      </c>
      <c r="AV263">
        <v>115</v>
      </c>
      <c r="AW263">
        <v>2</v>
      </c>
      <c r="AX263" t="s">
        <v>74</v>
      </c>
      <c r="AY263" t="s">
        <v>74</v>
      </c>
      <c r="AZ263" t="s">
        <v>74</v>
      </c>
      <c r="BA263" t="s">
        <v>74</v>
      </c>
      <c r="BB263">
        <v>173</v>
      </c>
      <c r="BC263">
        <v>179</v>
      </c>
      <c r="BD263" t="s">
        <v>74</v>
      </c>
      <c r="BE263" t="s">
        <v>3774</v>
      </c>
      <c r="BF263" t="str">
        <f>HYPERLINK("http://dx.doi.org/10.1016/S0031-9201(99)00075-8","http://dx.doi.org/10.1016/S0031-9201(99)00075-8")</f>
        <v>http://dx.doi.org/10.1016/S0031-9201(99)00075-8</v>
      </c>
      <c r="BG263" t="s">
        <v>74</v>
      </c>
      <c r="BH263" t="s">
        <v>74</v>
      </c>
      <c r="BI263">
        <v>7</v>
      </c>
      <c r="BJ263" t="s">
        <v>216</v>
      </c>
      <c r="BK263" t="s">
        <v>143</v>
      </c>
      <c r="BL263" t="s">
        <v>216</v>
      </c>
      <c r="BM263" t="s">
        <v>3775</v>
      </c>
      <c r="BN263" t="s">
        <v>74</v>
      </c>
      <c r="BO263" t="s">
        <v>74</v>
      </c>
      <c r="BP263" t="s">
        <v>74</v>
      </c>
      <c r="BQ263" t="s">
        <v>74</v>
      </c>
      <c r="BR263" t="s">
        <v>99</v>
      </c>
      <c r="BS263" t="s">
        <v>3776</v>
      </c>
      <c r="BT263" t="str">
        <f>HYPERLINK("https%3A%2F%2Fwww.webofscience.com%2Fwos%2Fwoscc%2Ffull-record%2FWOS:000082696300008","View Full Record in Web of Science")</f>
        <v>View Full Record in Web of Science</v>
      </c>
    </row>
    <row r="264" spans="1:72" x14ac:dyDescent="0.15">
      <c r="A264" t="s">
        <v>72</v>
      </c>
      <c r="B264" t="s">
        <v>3777</v>
      </c>
      <c r="C264" t="s">
        <v>74</v>
      </c>
      <c r="D264" t="s">
        <v>74</v>
      </c>
      <c r="E264" t="s">
        <v>74</v>
      </c>
      <c r="F264" t="s">
        <v>3777</v>
      </c>
      <c r="G264" t="s">
        <v>74</v>
      </c>
      <c r="H264" t="s">
        <v>74</v>
      </c>
      <c r="I264" t="s">
        <v>3778</v>
      </c>
      <c r="J264" t="s">
        <v>1375</v>
      </c>
      <c r="K264" t="s">
        <v>74</v>
      </c>
      <c r="L264" t="s">
        <v>74</v>
      </c>
      <c r="M264" t="s">
        <v>77</v>
      </c>
      <c r="N264" t="s">
        <v>78</v>
      </c>
      <c r="O264" t="s">
        <v>74</v>
      </c>
      <c r="P264" t="s">
        <v>74</v>
      </c>
      <c r="Q264" t="s">
        <v>74</v>
      </c>
      <c r="R264" t="s">
        <v>74</v>
      </c>
      <c r="S264" t="s">
        <v>74</v>
      </c>
      <c r="T264" t="s">
        <v>74</v>
      </c>
      <c r="U264" t="s">
        <v>3779</v>
      </c>
      <c r="V264" t="s">
        <v>3780</v>
      </c>
      <c r="W264" t="s">
        <v>3781</v>
      </c>
      <c r="X264" t="s">
        <v>3782</v>
      </c>
      <c r="Y264" t="s">
        <v>3783</v>
      </c>
      <c r="Z264" t="s">
        <v>3784</v>
      </c>
      <c r="AA264" t="s">
        <v>3785</v>
      </c>
      <c r="AB264" t="s">
        <v>3786</v>
      </c>
      <c r="AC264" t="s">
        <v>74</v>
      </c>
      <c r="AD264" t="s">
        <v>74</v>
      </c>
      <c r="AE264" t="s">
        <v>74</v>
      </c>
      <c r="AF264" t="s">
        <v>74</v>
      </c>
      <c r="AG264">
        <v>56</v>
      </c>
      <c r="AH264">
        <v>34</v>
      </c>
      <c r="AI264">
        <v>35</v>
      </c>
      <c r="AJ264">
        <v>0</v>
      </c>
      <c r="AK264">
        <v>7</v>
      </c>
      <c r="AL264" t="s">
        <v>705</v>
      </c>
      <c r="AM264" t="s">
        <v>554</v>
      </c>
      <c r="AN264" t="s">
        <v>1242</v>
      </c>
      <c r="AO264" t="s">
        <v>1379</v>
      </c>
      <c r="AP264" t="s">
        <v>2523</v>
      </c>
      <c r="AQ264" t="s">
        <v>74</v>
      </c>
      <c r="AR264" t="s">
        <v>1380</v>
      </c>
      <c r="AS264" t="s">
        <v>1381</v>
      </c>
      <c r="AT264" t="s">
        <v>2982</v>
      </c>
      <c r="AU264">
        <v>1999</v>
      </c>
      <c r="AV264">
        <v>22</v>
      </c>
      <c r="AW264">
        <v>3</v>
      </c>
      <c r="AX264" t="s">
        <v>74</v>
      </c>
      <c r="AY264" t="s">
        <v>74</v>
      </c>
      <c r="AZ264" t="s">
        <v>74</v>
      </c>
      <c r="BA264" t="s">
        <v>74</v>
      </c>
      <c r="BB264">
        <v>145</v>
      </c>
      <c r="BC264">
        <v>155</v>
      </c>
      <c r="BD264" t="s">
        <v>74</v>
      </c>
      <c r="BE264" t="s">
        <v>3787</v>
      </c>
      <c r="BF264" t="str">
        <f>HYPERLINK("http://dx.doi.org/10.1007/s003000050404","http://dx.doi.org/10.1007/s003000050404")</f>
        <v>http://dx.doi.org/10.1007/s003000050404</v>
      </c>
      <c r="BG264" t="s">
        <v>74</v>
      </c>
      <c r="BH264" t="s">
        <v>74</v>
      </c>
      <c r="BI264">
        <v>11</v>
      </c>
      <c r="BJ264" t="s">
        <v>1383</v>
      </c>
      <c r="BK264" t="s">
        <v>96</v>
      </c>
      <c r="BL264" t="s">
        <v>1384</v>
      </c>
      <c r="BM264" t="s">
        <v>3788</v>
      </c>
      <c r="BN264" t="s">
        <v>74</v>
      </c>
      <c r="BO264" t="s">
        <v>74</v>
      </c>
      <c r="BP264" t="s">
        <v>74</v>
      </c>
      <c r="BQ264" t="s">
        <v>74</v>
      </c>
      <c r="BR264" t="s">
        <v>99</v>
      </c>
      <c r="BS264" t="s">
        <v>3789</v>
      </c>
      <c r="BT264" t="str">
        <f>HYPERLINK("https%3A%2F%2Fwww.webofscience.com%2Fwos%2Fwoscc%2Ffull-record%2FWOS:000082423000001","View Full Record in Web of Science")</f>
        <v>View Full Record in Web of Science</v>
      </c>
    </row>
    <row r="265" spans="1:72" x14ac:dyDescent="0.15">
      <c r="A265" t="s">
        <v>72</v>
      </c>
      <c r="B265" t="s">
        <v>3790</v>
      </c>
      <c r="C265" t="s">
        <v>74</v>
      </c>
      <c r="D265" t="s">
        <v>74</v>
      </c>
      <c r="E265" t="s">
        <v>74</v>
      </c>
      <c r="F265" t="s">
        <v>3790</v>
      </c>
      <c r="G265" t="s">
        <v>74</v>
      </c>
      <c r="H265" t="s">
        <v>74</v>
      </c>
      <c r="I265" t="s">
        <v>3791</v>
      </c>
      <c r="J265" t="s">
        <v>1375</v>
      </c>
      <c r="K265" t="s">
        <v>74</v>
      </c>
      <c r="L265" t="s">
        <v>74</v>
      </c>
      <c r="M265" t="s">
        <v>77</v>
      </c>
      <c r="N265" t="s">
        <v>78</v>
      </c>
      <c r="O265" t="s">
        <v>74</v>
      </c>
      <c r="P265" t="s">
        <v>74</v>
      </c>
      <c r="Q265" t="s">
        <v>74</v>
      </c>
      <c r="R265" t="s">
        <v>74</v>
      </c>
      <c r="S265" t="s">
        <v>74</v>
      </c>
      <c r="T265" t="s">
        <v>74</v>
      </c>
      <c r="U265" t="s">
        <v>3792</v>
      </c>
      <c r="V265" t="s">
        <v>3793</v>
      </c>
      <c r="W265" t="s">
        <v>151</v>
      </c>
      <c r="X265" t="s">
        <v>131</v>
      </c>
      <c r="Y265" t="s">
        <v>152</v>
      </c>
      <c r="Z265" t="s">
        <v>3794</v>
      </c>
      <c r="AA265" t="s">
        <v>3795</v>
      </c>
      <c r="AB265" t="s">
        <v>74</v>
      </c>
      <c r="AC265" t="s">
        <v>74</v>
      </c>
      <c r="AD265" t="s">
        <v>74</v>
      </c>
      <c r="AE265" t="s">
        <v>74</v>
      </c>
      <c r="AF265" t="s">
        <v>74</v>
      </c>
      <c r="AG265">
        <v>21</v>
      </c>
      <c r="AH265">
        <v>9</v>
      </c>
      <c r="AI265">
        <v>12</v>
      </c>
      <c r="AJ265">
        <v>0</v>
      </c>
      <c r="AK265">
        <v>1</v>
      </c>
      <c r="AL265" t="s">
        <v>705</v>
      </c>
      <c r="AM265" t="s">
        <v>554</v>
      </c>
      <c r="AN265" t="s">
        <v>1242</v>
      </c>
      <c r="AO265" t="s">
        <v>1379</v>
      </c>
      <c r="AP265" t="s">
        <v>2523</v>
      </c>
      <c r="AQ265" t="s">
        <v>74</v>
      </c>
      <c r="AR265" t="s">
        <v>1380</v>
      </c>
      <c r="AS265" t="s">
        <v>1381</v>
      </c>
      <c r="AT265" t="s">
        <v>2982</v>
      </c>
      <c r="AU265">
        <v>1999</v>
      </c>
      <c r="AV265">
        <v>22</v>
      </c>
      <c r="AW265">
        <v>3</v>
      </c>
      <c r="AX265" t="s">
        <v>74</v>
      </c>
      <c r="AY265" t="s">
        <v>74</v>
      </c>
      <c r="AZ265" t="s">
        <v>74</v>
      </c>
      <c r="BA265" t="s">
        <v>74</v>
      </c>
      <c r="BB265">
        <v>156</v>
      </c>
      <c r="BC265">
        <v>163</v>
      </c>
      <c r="BD265" t="s">
        <v>74</v>
      </c>
      <c r="BE265" t="s">
        <v>3796</v>
      </c>
      <c r="BF265" t="str">
        <f>HYPERLINK("http://dx.doi.org/10.1007/s003000050405","http://dx.doi.org/10.1007/s003000050405")</f>
        <v>http://dx.doi.org/10.1007/s003000050405</v>
      </c>
      <c r="BG265" t="s">
        <v>74</v>
      </c>
      <c r="BH265" t="s">
        <v>74</v>
      </c>
      <c r="BI265">
        <v>8</v>
      </c>
      <c r="BJ265" t="s">
        <v>1383</v>
      </c>
      <c r="BK265" t="s">
        <v>96</v>
      </c>
      <c r="BL265" t="s">
        <v>1384</v>
      </c>
      <c r="BM265" t="s">
        <v>3788</v>
      </c>
      <c r="BN265" t="s">
        <v>74</v>
      </c>
      <c r="BO265" t="s">
        <v>74</v>
      </c>
      <c r="BP265" t="s">
        <v>74</v>
      </c>
      <c r="BQ265" t="s">
        <v>74</v>
      </c>
      <c r="BR265" t="s">
        <v>99</v>
      </c>
      <c r="BS265" t="s">
        <v>3797</v>
      </c>
      <c r="BT265" t="str">
        <f>HYPERLINK("https%3A%2F%2Fwww.webofscience.com%2Fwos%2Fwoscc%2Ffull-record%2FWOS:000082423000002","View Full Record in Web of Science")</f>
        <v>View Full Record in Web of Science</v>
      </c>
    </row>
    <row r="266" spans="1:72" x14ac:dyDescent="0.15">
      <c r="A266" t="s">
        <v>72</v>
      </c>
      <c r="B266" t="s">
        <v>3798</v>
      </c>
      <c r="C266" t="s">
        <v>74</v>
      </c>
      <c r="D266" t="s">
        <v>74</v>
      </c>
      <c r="E266" t="s">
        <v>74</v>
      </c>
      <c r="F266" t="s">
        <v>3798</v>
      </c>
      <c r="G266" t="s">
        <v>74</v>
      </c>
      <c r="H266" t="s">
        <v>74</v>
      </c>
      <c r="I266" t="s">
        <v>3799</v>
      </c>
      <c r="J266" t="s">
        <v>1375</v>
      </c>
      <c r="K266" t="s">
        <v>74</v>
      </c>
      <c r="L266" t="s">
        <v>74</v>
      </c>
      <c r="M266" t="s">
        <v>77</v>
      </c>
      <c r="N266" t="s">
        <v>78</v>
      </c>
      <c r="O266" t="s">
        <v>74</v>
      </c>
      <c r="P266" t="s">
        <v>74</v>
      </c>
      <c r="Q266" t="s">
        <v>74</v>
      </c>
      <c r="R266" t="s">
        <v>74</v>
      </c>
      <c r="S266" t="s">
        <v>74</v>
      </c>
      <c r="T266" t="s">
        <v>74</v>
      </c>
      <c r="U266" t="s">
        <v>3800</v>
      </c>
      <c r="V266" t="s">
        <v>3801</v>
      </c>
      <c r="W266" t="s">
        <v>3802</v>
      </c>
      <c r="X266" t="s">
        <v>2899</v>
      </c>
      <c r="Y266" t="s">
        <v>3803</v>
      </c>
      <c r="Z266" t="s">
        <v>3804</v>
      </c>
      <c r="AA266" t="s">
        <v>3805</v>
      </c>
      <c r="AB266" t="s">
        <v>3806</v>
      </c>
      <c r="AC266" t="s">
        <v>74</v>
      </c>
      <c r="AD266" t="s">
        <v>74</v>
      </c>
      <c r="AE266" t="s">
        <v>74</v>
      </c>
      <c r="AF266" t="s">
        <v>74</v>
      </c>
      <c r="AG266">
        <v>64</v>
      </c>
      <c r="AH266">
        <v>54</v>
      </c>
      <c r="AI266">
        <v>61</v>
      </c>
      <c r="AJ266">
        <v>0</v>
      </c>
      <c r="AK266">
        <v>12</v>
      </c>
      <c r="AL266" t="s">
        <v>705</v>
      </c>
      <c r="AM266" t="s">
        <v>554</v>
      </c>
      <c r="AN266" t="s">
        <v>1242</v>
      </c>
      <c r="AO266" t="s">
        <v>1379</v>
      </c>
      <c r="AP266" t="s">
        <v>2523</v>
      </c>
      <c r="AQ266" t="s">
        <v>74</v>
      </c>
      <c r="AR266" t="s">
        <v>1380</v>
      </c>
      <c r="AS266" t="s">
        <v>1381</v>
      </c>
      <c r="AT266" t="s">
        <v>2982</v>
      </c>
      <c r="AU266">
        <v>1999</v>
      </c>
      <c r="AV266">
        <v>22</v>
      </c>
      <c r="AW266">
        <v>3</v>
      </c>
      <c r="AX266" t="s">
        <v>74</v>
      </c>
      <c r="AY266" t="s">
        <v>74</v>
      </c>
      <c r="AZ266" t="s">
        <v>74</v>
      </c>
      <c r="BA266" t="s">
        <v>74</v>
      </c>
      <c r="BB266">
        <v>169</v>
      </c>
      <c r="BC266">
        <v>177</v>
      </c>
      <c r="BD266" t="s">
        <v>74</v>
      </c>
      <c r="BE266" t="s">
        <v>3807</v>
      </c>
      <c r="BF266" t="str">
        <f>HYPERLINK("http://dx.doi.org/10.1007/s003000050407","http://dx.doi.org/10.1007/s003000050407")</f>
        <v>http://dx.doi.org/10.1007/s003000050407</v>
      </c>
      <c r="BG266" t="s">
        <v>74</v>
      </c>
      <c r="BH266" t="s">
        <v>74</v>
      </c>
      <c r="BI266">
        <v>9</v>
      </c>
      <c r="BJ266" t="s">
        <v>1383</v>
      </c>
      <c r="BK266" t="s">
        <v>96</v>
      </c>
      <c r="BL266" t="s">
        <v>1384</v>
      </c>
      <c r="BM266" t="s">
        <v>3788</v>
      </c>
      <c r="BN266" t="s">
        <v>74</v>
      </c>
      <c r="BO266" t="s">
        <v>74</v>
      </c>
      <c r="BP266" t="s">
        <v>74</v>
      </c>
      <c r="BQ266" t="s">
        <v>74</v>
      </c>
      <c r="BR266" t="s">
        <v>99</v>
      </c>
      <c r="BS266" t="s">
        <v>3808</v>
      </c>
      <c r="BT266" t="str">
        <f>HYPERLINK("https%3A%2F%2Fwww.webofscience.com%2Fwos%2Fwoscc%2Ffull-record%2FWOS:000082423000004","View Full Record in Web of Science")</f>
        <v>View Full Record in Web of Science</v>
      </c>
    </row>
    <row r="267" spans="1:72" x14ac:dyDescent="0.15">
      <c r="A267" t="s">
        <v>72</v>
      </c>
      <c r="B267" t="s">
        <v>3809</v>
      </c>
      <c r="C267" t="s">
        <v>74</v>
      </c>
      <c r="D267" t="s">
        <v>74</v>
      </c>
      <c r="E267" t="s">
        <v>74</v>
      </c>
      <c r="F267" t="s">
        <v>3809</v>
      </c>
      <c r="G267" t="s">
        <v>74</v>
      </c>
      <c r="H267" t="s">
        <v>74</v>
      </c>
      <c r="I267" t="s">
        <v>3810</v>
      </c>
      <c r="J267" t="s">
        <v>1375</v>
      </c>
      <c r="K267" t="s">
        <v>74</v>
      </c>
      <c r="L267" t="s">
        <v>74</v>
      </c>
      <c r="M267" t="s">
        <v>77</v>
      </c>
      <c r="N267" t="s">
        <v>78</v>
      </c>
      <c r="O267" t="s">
        <v>74</v>
      </c>
      <c r="P267" t="s">
        <v>74</v>
      </c>
      <c r="Q267" t="s">
        <v>74</v>
      </c>
      <c r="R267" t="s">
        <v>74</v>
      </c>
      <c r="S267" t="s">
        <v>74</v>
      </c>
      <c r="T267" t="s">
        <v>74</v>
      </c>
      <c r="U267" t="s">
        <v>3811</v>
      </c>
      <c r="V267" t="s">
        <v>3812</v>
      </c>
      <c r="W267" t="s">
        <v>3813</v>
      </c>
      <c r="X267" t="s">
        <v>3814</v>
      </c>
      <c r="Y267" t="s">
        <v>3815</v>
      </c>
      <c r="Z267" t="s">
        <v>3816</v>
      </c>
      <c r="AA267" t="s">
        <v>3817</v>
      </c>
      <c r="AB267" t="s">
        <v>3818</v>
      </c>
      <c r="AC267" t="s">
        <v>74</v>
      </c>
      <c r="AD267" t="s">
        <v>74</v>
      </c>
      <c r="AE267" t="s">
        <v>74</v>
      </c>
      <c r="AF267" t="s">
        <v>74</v>
      </c>
      <c r="AG267">
        <v>33</v>
      </c>
      <c r="AH267">
        <v>16</v>
      </c>
      <c r="AI267">
        <v>17</v>
      </c>
      <c r="AJ267">
        <v>0</v>
      </c>
      <c r="AK267">
        <v>5</v>
      </c>
      <c r="AL267" t="s">
        <v>705</v>
      </c>
      <c r="AM267" t="s">
        <v>554</v>
      </c>
      <c r="AN267" t="s">
        <v>1242</v>
      </c>
      <c r="AO267" t="s">
        <v>1379</v>
      </c>
      <c r="AP267" t="s">
        <v>2523</v>
      </c>
      <c r="AQ267" t="s">
        <v>74</v>
      </c>
      <c r="AR267" t="s">
        <v>1380</v>
      </c>
      <c r="AS267" t="s">
        <v>1381</v>
      </c>
      <c r="AT267" t="s">
        <v>2982</v>
      </c>
      <c r="AU267">
        <v>1999</v>
      </c>
      <c r="AV267">
        <v>22</v>
      </c>
      <c r="AW267">
        <v>3</v>
      </c>
      <c r="AX267" t="s">
        <v>74</v>
      </c>
      <c r="AY267" t="s">
        <v>74</v>
      </c>
      <c r="AZ267" t="s">
        <v>74</v>
      </c>
      <c r="BA267" t="s">
        <v>74</v>
      </c>
      <c r="BB267">
        <v>189</v>
      </c>
      <c r="BC267">
        <v>194</v>
      </c>
      <c r="BD267" t="s">
        <v>74</v>
      </c>
      <c r="BE267" t="s">
        <v>3819</v>
      </c>
      <c r="BF267" t="str">
        <f>HYPERLINK("http://dx.doi.org/10.1007/s003000050409","http://dx.doi.org/10.1007/s003000050409")</f>
        <v>http://dx.doi.org/10.1007/s003000050409</v>
      </c>
      <c r="BG267" t="s">
        <v>74</v>
      </c>
      <c r="BH267" t="s">
        <v>74</v>
      </c>
      <c r="BI267">
        <v>6</v>
      </c>
      <c r="BJ267" t="s">
        <v>1383</v>
      </c>
      <c r="BK267" t="s">
        <v>96</v>
      </c>
      <c r="BL267" t="s">
        <v>1384</v>
      </c>
      <c r="BM267" t="s">
        <v>3788</v>
      </c>
      <c r="BN267" t="s">
        <v>74</v>
      </c>
      <c r="BO267" t="s">
        <v>74</v>
      </c>
      <c r="BP267" t="s">
        <v>74</v>
      </c>
      <c r="BQ267" t="s">
        <v>74</v>
      </c>
      <c r="BR267" t="s">
        <v>99</v>
      </c>
      <c r="BS267" t="s">
        <v>3820</v>
      </c>
      <c r="BT267" t="str">
        <f>HYPERLINK("https%3A%2F%2Fwww.webofscience.com%2Fwos%2Fwoscc%2Ffull-record%2FWOS:000082423000006","View Full Record in Web of Science")</f>
        <v>View Full Record in Web of Science</v>
      </c>
    </row>
    <row r="268" spans="1:72" x14ac:dyDescent="0.15">
      <c r="A268" t="s">
        <v>72</v>
      </c>
      <c r="B268" t="s">
        <v>3821</v>
      </c>
      <c r="C268" t="s">
        <v>74</v>
      </c>
      <c r="D268" t="s">
        <v>74</v>
      </c>
      <c r="E268" t="s">
        <v>74</v>
      </c>
      <c r="F268" t="s">
        <v>3821</v>
      </c>
      <c r="G268" t="s">
        <v>74</v>
      </c>
      <c r="H268" t="s">
        <v>74</v>
      </c>
      <c r="I268" t="s">
        <v>3822</v>
      </c>
      <c r="J268" t="s">
        <v>1375</v>
      </c>
      <c r="K268" t="s">
        <v>74</v>
      </c>
      <c r="L268" t="s">
        <v>74</v>
      </c>
      <c r="M268" t="s">
        <v>77</v>
      </c>
      <c r="N268" t="s">
        <v>78</v>
      </c>
      <c r="O268" t="s">
        <v>74</v>
      </c>
      <c r="P268" t="s">
        <v>74</v>
      </c>
      <c r="Q268" t="s">
        <v>74</v>
      </c>
      <c r="R268" t="s">
        <v>74</v>
      </c>
      <c r="S268" t="s">
        <v>74</v>
      </c>
      <c r="T268" t="s">
        <v>74</v>
      </c>
      <c r="U268" t="s">
        <v>3823</v>
      </c>
      <c r="V268" t="s">
        <v>3824</v>
      </c>
      <c r="W268" t="s">
        <v>3825</v>
      </c>
      <c r="X268" t="s">
        <v>3826</v>
      </c>
      <c r="Y268" t="s">
        <v>3827</v>
      </c>
      <c r="Z268" t="s">
        <v>3828</v>
      </c>
      <c r="AA268" t="s">
        <v>3829</v>
      </c>
      <c r="AB268" t="s">
        <v>3830</v>
      </c>
      <c r="AC268" t="s">
        <v>74</v>
      </c>
      <c r="AD268" t="s">
        <v>74</v>
      </c>
      <c r="AE268" t="s">
        <v>74</v>
      </c>
      <c r="AF268" t="s">
        <v>74</v>
      </c>
      <c r="AG268">
        <v>23</v>
      </c>
      <c r="AH268">
        <v>6</v>
      </c>
      <c r="AI268">
        <v>8</v>
      </c>
      <c r="AJ268">
        <v>1</v>
      </c>
      <c r="AK268">
        <v>25</v>
      </c>
      <c r="AL268" t="s">
        <v>705</v>
      </c>
      <c r="AM268" t="s">
        <v>554</v>
      </c>
      <c r="AN268" t="s">
        <v>706</v>
      </c>
      <c r="AO268" t="s">
        <v>1379</v>
      </c>
      <c r="AP268" t="s">
        <v>74</v>
      </c>
      <c r="AQ268" t="s">
        <v>74</v>
      </c>
      <c r="AR268" t="s">
        <v>1380</v>
      </c>
      <c r="AS268" t="s">
        <v>1381</v>
      </c>
      <c r="AT268" t="s">
        <v>2982</v>
      </c>
      <c r="AU268">
        <v>1999</v>
      </c>
      <c r="AV268">
        <v>22</v>
      </c>
      <c r="AW268">
        <v>3</v>
      </c>
      <c r="AX268" t="s">
        <v>74</v>
      </c>
      <c r="AY268" t="s">
        <v>74</v>
      </c>
      <c r="AZ268" t="s">
        <v>74</v>
      </c>
      <c r="BA268" t="s">
        <v>74</v>
      </c>
      <c r="BB268">
        <v>213</v>
      </c>
      <c r="BC268">
        <v>215</v>
      </c>
      <c r="BD268" t="s">
        <v>74</v>
      </c>
      <c r="BE268" t="s">
        <v>3831</v>
      </c>
      <c r="BF268" t="str">
        <f>HYPERLINK("http://dx.doi.org/10.1007/s003000050412","http://dx.doi.org/10.1007/s003000050412")</f>
        <v>http://dx.doi.org/10.1007/s003000050412</v>
      </c>
      <c r="BG268" t="s">
        <v>74</v>
      </c>
      <c r="BH268" t="s">
        <v>74</v>
      </c>
      <c r="BI268">
        <v>3</v>
      </c>
      <c r="BJ268" t="s">
        <v>1383</v>
      </c>
      <c r="BK268" t="s">
        <v>96</v>
      </c>
      <c r="BL268" t="s">
        <v>1384</v>
      </c>
      <c r="BM268" t="s">
        <v>3788</v>
      </c>
      <c r="BN268" t="s">
        <v>74</v>
      </c>
      <c r="BO268" t="s">
        <v>74</v>
      </c>
      <c r="BP268" t="s">
        <v>74</v>
      </c>
      <c r="BQ268" t="s">
        <v>74</v>
      </c>
      <c r="BR268" t="s">
        <v>99</v>
      </c>
      <c r="BS268" t="s">
        <v>3832</v>
      </c>
      <c r="BT268" t="str">
        <f>HYPERLINK("https%3A%2F%2Fwww.webofscience.com%2Fwos%2Fwoscc%2Ffull-record%2FWOS:000082423000009","View Full Record in Web of Science")</f>
        <v>View Full Record in Web of Science</v>
      </c>
    </row>
    <row r="269" spans="1:72" x14ac:dyDescent="0.15">
      <c r="A269" t="s">
        <v>72</v>
      </c>
      <c r="B269" t="s">
        <v>3833</v>
      </c>
      <c r="C269" t="s">
        <v>74</v>
      </c>
      <c r="D269" t="s">
        <v>74</v>
      </c>
      <c r="E269" t="s">
        <v>74</v>
      </c>
      <c r="F269" t="s">
        <v>3833</v>
      </c>
      <c r="G269" t="s">
        <v>74</v>
      </c>
      <c r="H269" t="s">
        <v>74</v>
      </c>
      <c r="I269" t="s">
        <v>3834</v>
      </c>
      <c r="J269" t="s">
        <v>3835</v>
      </c>
      <c r="K269" t="s">
        <v>74</v>
      </c>
      <c r="L269" t="s">
        <v>74</v>
      </c>
      <c r="M269" t="s">
        <v>77</v>
      </c>
      <c r="N269" t="s">
        <v>78</v>
      </c>
      <c r="O269" t="s">
        <v>74</v>
      </c>
      <c r="P269" t="s">
        <v>74</v>
      </c>
      <c r="Q269" t="s">
        <v>74</v>
      </c>
      <c r="R269" t="s">
        <v>74</v>
      </c>
      <c r="S269" t="s">
        <v>74</v>
      </c>
      <c r="T269" t="s">
        <v>74</v>
      </c>
      <c r="U269" t="s">
        <v>3836</v>
      </c>
      <c r="V269" t="s">
        <v>3837</v>
      </c>
      <c r="W269" t="s">
        <v>3838</v>
      </c>
      <c r="X269" t="s">
        <v>3839</v>
      </c>
      <c r="Y269" t="s">
        <v>3840</v>
      </c>
      <c r="Z269" t="s">
        <v>74</v>
      </c>
      <c r="AA269" t="s">
        <v>945</v>
      </c>
      <c r="AB269" t="s">
        <v>946</v>
      </c>
      <c r="AC269" t="s">
        <v>74</v>
      </c>
      <c r="AD269" t="s">
        <v>74</v>
      </c>
      <c r="AE269" t="s">
        <v>74</v>
      </c>
      <c r="AF269" t="s">
        <v>74</v>
      </c>
      <c r="AG269">
        <v>38</v>
      </c>
      <c r="AH269">
        <v>26</v>
      </c>
      <c r="AI269">
        <v>27</v>
      </c>
      <c r="AJ269">
        <v>0</v>
      </c>
      <c r="AK269">
        <v>0</v>
      </c>
      <c r="AL269" t="s">
        <v>230</v>
      </c>
      <c r="AM269" t="s">
        <v>231</v>
      </c>
      <c r="AN269" t="s">
        <v>232</v>
      </c>
      <c r="AO269" t="s">
        <v>3841</v>
      </c>
      <c r="AP269" t="s">
        <v>74</v>
      </c>
      <c r="AQ269" t="s">
        <v>74</v>
      </c>
      <c r="AR269" t="s">
        <v>3842</v>
      </c>
      <c r="AS269" t="s">
        <v>3843</v>
      </c>
      <c r="AT269" t="s">
        <v>3290</v>
      </c>
      <c r="AU269">
        <v>1999</v>
      </c>
      <c r="AV269">
        <v>34</v>
      </c>
      <c r="AW269">
        <v>5</v>
      </c>
      <c r="AX269" t="s">
        <v>74</v>
      </c>
      <c r="AY269" t="s">
        <v>74</v>
      </c>
      <c r="AZ269" t="s">
        <v>74</v>
      </c>
      <c r="BA269" t="s">
        <v>74</v>
      </c>
      <c r="BB269">
        <v>1177</v>
      </c>
      <c r="BC269">
        <v>1185</v>
      </c>
      <c r="BD269" t="s">
        <v>74</v>
      </c>
      <c r="BE269" t="s">
        <v>3844</v>
      </c>
      <c r="BF269" t="str">
        <f>HYPERLINK("http://dx.doi.org/10.1029/1999RS900061","http://dx.doi.org/10.1029/1999RS900061")</f>
        <v>http://dx.doi.org/10.1029/1999RS900061</v>
      </c>
      <c r="BG269" t="s">
        <v>74</v>
      </c>
      <c r="BH269" t="s">
        <v>74</v>
      </c>
      <c r="BI269">
        <v>9</v>
      </c>
      <c r="BJ269" t="s">
        <v>3845</v>
      </c>
      <c r="BK269" t="s">
        <v>96</v>
      </c>
      <c r="BL269" t="s">
        <v>3845</v>
      </c>
      <c r="BM269" t="s">
        <v>3846</v>
      </c>
      <c r="BN269" t="s">
        <v>74</v>
      </c>
      <c r="BO269" t="s">
        <v>74</v>
      </c>
      <c r="BP269" t="s">
        <v>74</v>
      </c>
      <c r="BQ269" t="s">
        <v>74</v>
      </c>
      <c r="BR269" t="s">
        <v>99</v>
      </c>
      <c r="BS269" t="s">
        <v>3847</v>
      </c>
      <c r="BT269" t="str">
        <f>HYPERLINK("https%3A%2F%2Fwww.webofscience.com%2Fwos%2Fwoscc%2Ffull-record%2FWOS:000082778600012","View Full Record in Web of Science")</f>
        <v>View Full Record in Web of Science</v>
      </c>
    </row>
    <row r="270" spans="1:72" x14ac:dyDescent="0.15">
      <c r="A270" t="s">
        <v>72</v>
      </c>
      <c r="B270" t="s">
        <v>3848</v>
      </c>
      <c r="C270" t="s">
        <v>74</v>
      </c>
      <c r="D270" t="s">
        <v>74</v>
      </c>
      <c r="E270" t="s">
        <v>74</v>
      </c>
      <c r="F270" t="s">
        <v>3848</v>
      </c>
      <c r="G270" t="s">
        <v>74</v>
      </c>
      <c r="H270" t="s">
        <v>74</v>
      </c>
      <c r="I270" t="s">
        <v>3849</v>
      </c>
      <c r="J270" t="s">
        <v>3850</v>
      </c>
      <c r="K270" t="s">
        <v>74</v>
      </c>
      <c r="L270" t="s">
        <v>74</v>
      </c>
      <c r="M270" t="s">
        <v>77</v>
      </c>
      <c r="N270" t="s">
        <v>78</v>
      </c>
      <c r="O270" t="s">
        <v>74</v>
      </c>
      <c r="P270" t="s">
        <v>74</v>
      </c>
      <c r="Q270" t="s">
        <v>74</v>
      </c>
      <c r="R270" t="s">
        <v>74</v>
      </c>
      <c r="S270" t="s">
        <v>74</v>
      </c>
      <c r="T270" t="s">
        <v>3851</v>
      </c>
      <c r="U270" t="s">
        <v>3852</v>
      </c>
      <c r="V270" t="s">
        <v>3853</v>
      </c>
      <c r="W270" t="s">
        <v>3854</v>
      </c>
      <c r="X270" t="s">
        <v>3855</v>
      </c>
      <c r="Y270" t="s">
        <v>3856</v>
      </c>
      <c r="Z270" t="s">
        <v>3857</v>
      </c>
      <c r="AA270" t="s">
        <v>3858</v>
      </c>
      <c r="AB270" t="s">
        <v>74</v>
      </c>
      <c r="AC270" t="s">
        <v>74</v>
      </c>
      <c r="AD270" t="s">
        <v>74</v>
      </c>
      <c r="AE270" t="s">
        <v>74</v>
      </c>
      <c r="AF270" t="s">
        <v>74</v>
      </c>
      <c r="AG270">
        <v>36</v>
      </c>
      <c r="AH270">
        <v>37</v>
      </c>
      <c r="AI270">
        <v>39</v>
      </c>
      <c r="AJ270">
        <v>0</v>
      </c>
      <c r="AK270">
        <v>10</v>
      </c>
      <c r="AL270" t="s">
        <v>3859</v>
      </c>
      <c r="AM270" t="s">
        <v>3860</v>
      </c>
      <c r="AN270" t="s">
        <v>3861</v>
      </c>
      <c r="AO270" t="s">
        <v>3862</v>
      </c>
      <c r="AP270" t="s">
        <v>3863</v>
      </c>
      <c r="AQ270" t="s">
        <v>74</v>
      </c>
      <c r="AR270" t="s">
        <v>3864</v>
      </c>
      <c r="AS270" t="s">
        <v>3865</v>
      </c>
      <c r="AT270" t="s">
        <v>2982</v>
      </c>
      <c r="AU270">
        <v>1999</v>
      </c>
      <c r="AV270">
        <v>72</v>
      </c>
      <c r="AW270">
        <v>3</v>
      </c>
      <c r="AX270" t="s">
        <v>74</v>
      </c>
      <c r="AY270" t="s">
        <v>74</v>
      </c>
      <c r="AZ270" t="s">
        <v>74</v>
      </c>
      <c r="BA270" t="s">
        <v>74</v>
      </c>
      <c r="BB270">
        <v>411</v>
      </c>
      <c r="BC270">
        <v>425</v>
      </c>
      <c r="BD270" t="s">
        <v>74</v>
      </c>
      <c r="BE270" t="s">
        <v>74</v>
      </c>
      <c r="BF270" t="s">
        <v>74</v>
      </c>
      <c r="BG270" t="s">
        <v>74</v>
      </c>
      <c r="BH270" t="s">
        <v>74</v>
      </c>
      <c r="BI270">
        <v>15</v>
      </c>
      <c r="BJ270" t="s">
        <v>1383</v>
      </c>
      <c r="BK270" t="s">
        <v>96</v>
      </c>
      <c r="BL270" t="s">
        <v>1384</v>
      </c>
      <c r="BM270" t="s">
        <v>3866</v>
      </c>
      <c r="BN270" t="s">
        <v>74</v>
      </c>
      <c r="BO270" t="s">
        <v>74</v>
      </c>
      <c r="BP270" t="s">
        <v>74</v>
      </c>
      <c r="BQ270" t="s">
        <v>74</v>
      </c>
      <c r="BR270" t="s">
        <v>99</v>
      </c>
      <c r="BS270" t="s">
        <v>3867</v>
      </c>
      <c r="BT270" t="str">
        <f>HYPERLINK("https%3A%2F%2Fwww.webofscience.com%2Fwos%2Fwoscc%2Ffull-record%2FWOS:000083358600009","View Full Record in Web of Science")</f>
        <v>View Full Record in Web of Science</v>
      </c>
    </row>
    <row r="271" spans="1:72" x14ac:dyDescent="0.15">
      <c r="A271" t="s">
        <v>72</v>
      </c>
      <c r="B271" t="s">
        <v>3868</v>
      </c>
      <c r="C271" t="s">
        <v>74</v>
      </c>
      <c r="D271" t="s">
        <v>74</v>
      </c>
      <c r="E271" t="s">
        <v>74</v>
      </c>
      <c r="F271" t="s">
        <v>3868</v>
      </c>
      <c r="G271" t="s">
        <v>74</v>
      </c>
      <c r="H271" t="s">
        <v>74</v>
      </c>
      <c r="I271" t="s">
        <v>3869</v>
      </c>
      <c r="J271" t="s">
        <v>3870</v>
      </c>
      <c r="K271" t="s">
        <v>74</v>
      </c>
      <c r="L271" t="s">
        <v>74</v>
      </c>
      <c r="M271" t="s">
        <v>77</v>
      </c>
      <c r="N271" t="s">
        <v>78</v>
      </c>
      <c r="O271" t="s">
        <v>74</v>
      </c>
      <c r="P271" t="s">
        <v>74</v>
      </c>
      <c r="Q271" t="s">
        <v>74</v>
      </c>
      <c r="R271" t="s">
        <v>74</v>
      </c>
      <c r="S271" t="s">
        <v>74</v>
      </c>
      <c r="T271" t="s">
        <v>74</v>
      </c>
      <c r="U271" t="s">
        <v>3871</v>
      </c>
      <c r="V271" t="s">
        <v>3872</v>
      </c>
      <c r="W271" t="s">
        <v>3873</v>
      </c>
      <c r="X271" t="s">
        <v>3874</v>
      </c>
      <c r="Y271" t="s">
        <v>3875</v>
      </c>
      <c r="Z271" t="s">
        <v>74</v>
      </c>
      <c r="AA271" t="s">
        <v>3876</v>
      </c>
      <c r="AB271" t="s">
        <v>3877</v>
      </c>
      <c r="AC271" t="s">
        <v>74</v>
      </c>
      <c r="AD271" t="s">
        <v>74</v>
      </c>
      <c r="AE271" t="s">
        <v>74</v>
      </c>
      <c r="AF271" t="s">
        <v>74</v>
      </c>
      <c r="AG271">
        <v>57</v>
      </c>
      <c r="AH271">
        <v>154</v>
      </c>
      <c r="AI271">
        <v>159</v>
      </c>
      <c r="AJ271">
        <v>0</v>
      </c>
      <c r="AK271">
        <v>19</v>
      </c>
      <c r="AL271" t="s">
        <v>3878</v>
      </c>
      <c r="AM271" t="s">
        <v>3879</v>
      </c>
      <c r="AN271" t="s">
        <v>3880</v>
      </c>
      <c r="AO271" t="s">
        <v>3881</v>
      </c>
      <c r="AP271" t="s">
        <v>74</v>
      </c>
      <c r="AQ271" t="s">
        <v>74</v>
      </c>
      <c r="AR271" t="s">
        <v>3882</v>
      </c>
      <c r="AS271" t="s">
        <v>3883</v>
      </c>
      <c r="AT271" t="s">
        <v>2982</v>
      </c>
      <c r="AU271">
        <v>1999</v>
      </c>
      <c r="AV271">
        <v>51</v>
      </c>
      <c r="AW271">
        <v>4</v>
      </c>
      <c r="AX271" t="s">
        <v>74</v>
      </c>
      <c r="AY271" t="s">
        <v>74</v>
      </c>
      <c r="AZ271" t="s">
        <v>74</v>
      </c>
      <c r="BA271" t="s">
        <v>74</v>
      </c>
      <c r="BB271">
        <v>849</v>
      </c>
      <c r="BC271">
        <v>861</v>
      </c>
      <c r="BD271" t="s">
        <v>74</v>
      </c>
      <c r="BE271" t="s">
        <v>3884</v>
      </c>
      <c r="BF271" t="str">
        <f>HYPERLINK("http://dx.doi.org/10.1034/j.1600-0889.1999.t01-3-00008.x","http://dx.doi.org/10.1034/j.1600-0889.1999.t01-3-00008.x")</f>
        <v>http://dx.doi.org/10.1034/j.1600-0889.1999.t01-3-00008.x</v>
      </c>
      <c r="BG271" t="s">
        <v>74</v>
      </c>
      <c r="BH271" t="s">
        <v>74</v>
      </c>
      <c r="BI271">
        <v>13</v>
      </c>
      <c r="BJ271" t="s">
        <v>95</v>
      </c>
      <c r="BK271" t="s">
        <v>96</v>
      </c>
      <c r="BL271" t="s">
        <v>95</v>
      </c>
      <c r="BM271" t="s">
        <v>3885</v>
      </c>
      <c r="BN271" t="s">
        <v>74</v>
      </c>
      <c r="BO271" t="s">
        <v>74</v>
      </c>
      <c r="BP271" t="s">
        <v>74</v>
      </c>
      <c r="BQ271" t="s">
        <v>74</v>
      </c>
      <c r="BR271" t="s">
        <v>99</v>
      </c>
      <c r="BS271" t="s">
        <v>3886</v>
      </c>
      <c r="BT271" t="str">
        <f>HYPERLINK("https%3A%2F%2Fwww.webofscience.com%2Fwos%2Fwoscc%2Ffull-record%2FWOS:000082964800008","View Full Record in Web of Science")</f>
        <v>View Full Record in Web of Science</v>
      </c>
    </row>
    <row r="272" spans="1:72" x14ac:dyDescent="0.15">
      <c r="A272" t="s">
        <v>72</v>
      </c>
      <c r="B272" t="s">
        <v>3887</v>
      </c>
      <c r="C272" t="s">
        <v>74</v>
      </c>
      <c r="D272" t="s">
        <v>74</v>
      </c>
      <c r="E272" t="s">
        <v>74</v>
      </c>
      <c r="F272" t="s">
        <v>3887</v>
      </c>
      <c r="G272" t="s">
        <v>74</v>
      </c>
      <c r="H272" t="s">
        <v>74</v>
      </c>
      <c r="I272" t="s">
        <v>3888</v>
      </c>
      <c r="J272" t="s">
        <v>221</v>
      </c>
      <c r="K272" t="s">
        <v>74</v>
      </c>
      <c r="L272" t="s">
        <v>74</v>
      </c>
      <c r="M272" t="s">
        <v>77</v>
      </c>
      <c r="N272" t="s">
        <v>78</v>
      </c>
      <c r="O272" t="s">
        <v>74</v>
      </c>
      <c r="P272" t="s">
        <v>74</v>
      </c>
      <c r="Q272" t="s">
        <v>74</v>
      </c>
      <c r="R272" t="s">
        <v>74</v>
      </c>
      <c r="S272" t="s">
        <v>74</v>
      </c>
      <c r="T272" t="s">
        <v>74</v>
      </c>
      <c r="U272" t="s">
        <v>3889</v>
      </c>
      <c r="V272" t="s">
        <v>3890</v>
      </c>
      <c r="W272" t="s">
        <v>3891</v>
      </c>
      <c r="X272" t="s">
        <v>131</v>
      </c>
      <c r="Y272" t="s">
        <v>3892</v>
      </c>
      <c r="Z272" t="s">
        <v>74</v>
      </c>
      <c r="AA272" t="s">
        <v>3893</v>
      </c>
      <c r="AB272" t="s">
        <v>3894</v>
      </c>
      <c r="AC272" t="s">
        <v>74</v>
      </c>
      <c r="AD272" t="s">
        <v>74</v>
      </c>
      <c r="AE272" t="s">
        <v>74</v>
      </c>
      <c r="AF272" t="s">
        <v>74</v>
      </c>
      <c r="AG272">
        <v>59</v>
      </c>
      <c r="AH272">
        <v>100</v>
      </c>
      <c r="AI272">
        <v>102</v>
      </c>
      <c r="AJ272">
        <v>0</v>
      </c>
      <c r="AK272">
        <v>12</v>
      </c>
      <c r="AL272" t="s">
        <v>230</v>
      </c>
      <c r="AM272" t="s">
        <v>231</v>
      </c>
      <c r="AN272" t="s">
        <v>232</v>
      </c>
      <c r="AO272" t="s">
        <v>233</v>
      </c>
      <c r="AP272" t="s">
        <v>317</v>
      </c>
      <c r="AQ272" t="s">
        <v>74</v>
      </c>
      <c r="AR272" t="s">
        <v>234</v>
      </c>
      <c r="AS272" t="s">
        <v>235</v>
      </c>
      <c r="AT272" t="s">
        <v>3895</v>
      </c>
      <c r="AU272">
        <v>1999</v>
      </c>
      <c r="AV272">
        <v>104</v>
      </c>
      <c r="AW272" t="s">
        <v>3896</v>
      </c>
      <c r="AX272" t="s">
        <v>74</v>
      </c>
      <c r="AY272" t="s">
        <v>74</v>
      </c>
      <c r="AZ272" t="s">
        <v>74</v>
      </c>
      <c r="BA272" t="s">
        <v>74</v>
      </c>
      <c r="BB272">
        <v>19191</v>
      </c>
      <c r="BC272">
        <v>19211</v>
      </c>
      <c r="BD272" t="s">
        <v>74</v>
      </c>
      <c r="BE272" t="s">
        <v>3897</v>
      </c>
      <c r="BF272" t="str">
        <f>HYPERLINK("http://dx.doi.org/10.1029/1999JD900376","http://dx.doi.org/10.1029/1999JD900376")</f>
        <v>http://dx.doi.org/10.1029/1999JD900376</v>
      </c>
      <c r="BG272" t="s">
        <v>74</v>
      </c>
      <c r="BH272" t="s">
        <v>74</v>
      </c>
      <c r="BI272">
        <v>21</v>
      </c>
      <c r="BJ272" t="s">
        <v>95</v>
      </c>
      <c r="BK272" t="s">
        <v>96</v>
      </c>
      <c r="BL272" t="s">
        <v>95</v>
      </c>
      <c r="BM272" t="s">
        <v>3898</v>
      </c>
      <c r="BN272" t="s">
        <v>74</v>
      </c>
      <c r="BO272" t="s">
        <v>250</v>
      </c>
      <c r="BP272" t="s">
        <v>74</v>
      </c>
      <c r="BQ272" t="s">
        <v>74</v>
      </c>
      <c r="BR272" t="s">
        <v>99</v>
      </c>
      <c r="BS272" t="s">
        <v>3899</v>
      </c>
      <c r="BT272" t="str">
        <f>HYPERLINK("https%3A%2F%2Fwww.webofscience.com%2Fwos%2Fwoscc%2Ffull-record%2FWOS:000082235300014","View Full Record in Web of Science")</f>
        <v>View Full Record in Web of Science</v>
      </c>
    </row>
    <row r="273" spans="1:72" x14ac:dyDescent="0.15">
      <c r="A273" t="s">
        <v>72</v>
      </c>
      <c r="B273" t="s">
        <v>3900</v>
      </c>
      <c r="C273" t="s">
        <v>74</v>
      </c>
      <c r="D273" t="s">
        <v>74</v>
      </c>
      <c r="E273" t="s">
        <v>74</v>
      </c>
      <c r="F273" t="s">
        <v>3900</v>
      </c>
      <c r="G273" t="s">
        <v>74</v>
      </c>
      <c r="H273" t="s">
        <v>74</v>
      </c>
      <c r="I273" t="s">
        <v>3901</v>
      </c>
      <c r="J273" t="s">
        <v>3902</v>
      </c>
      <c r="K273" t="s">
        <v>74</v>
      </c>
      <c r="L273" t="s">
        <v>74</v>
      </c>
      <c r="M273" t="s">
        <v>77</v>
      </c>
      <c r="N273" t="s">
        <v>78</v>
      </c>
      <c r="O273" t="s">
        <v>74</v>
      </c>
      <c r="P273" t="s">
        <v>74</v>
      </c>
      <c r="Q273" t="s">
        <v>74</v>
      </c>
      <c r="R273" t="s">
        <v>74</v>
      </c>
      <c r="S273" t="s">
        <v>74</v>
      </c>
      <c r="T273" t="s">
        <v>3903</v>
      </c>
      <c r="U273" t="s">
        <v>3904</v>
      </c>
      <c r="V273" t="s">
        <v>3905</v>
      </c>
      <c r="W273" t="s">
        <v>3906</v>
      </c>
      <c r="X273" t="s">
        <v>3907</v>
      </c>
      <c r="Y273" t="s">
        <v>3908</v>
      </c>
      <c r="Z273" t="s">
        <v>3909</v>
      </c>
      <c r="AA273" t="s">
        <v>74</v>
      </c>
      <c r="AB273" t="s">
        <v>74</v>
      </c>
      <c r="AC273" t="s">
        <v>74</v>
      </c>
      <c r="AD273" t="s">
        <v>74</v>
      </c>
      <c r="AE273" t="s">
        <v>74</v>
      </c>
      <c r="AF273" t="s">
        <v>74</v>
      </c>
      <c r="AG273">
        <v>34</v>
      </c>
      <c r="AH273">
        <v>147</v>
      </c>
      <c r="AI273">
        <v>170</v>
      </c>
      <c r="AJ273">
        <v>2</v>
      </c>
      <c r="AK273">
        <v>47</v>
      </c>
      <c r="AL273" t="s">
        <v>3910</v>
      </c>
      <c r="AM273" t="s">
        <v>531</v>
      </c>
      <c r="AN273" t="s">
        <v>3911</v>
      </c>
      <c r="AO273" t="s">
        <v>3912</v>
      </c>
      <c r="AP273" t="s">
        <v>74</v>
      </c>
      <c r="AQ273" t="s">
        <v>74</v>
      </c>
      <c r="AR273" t="s">
        <v>3913</v>
      </c>
      <c r="AS273" t="s">
        <v>3914</v>
      </c>
      <c r="AT273" t="s">
        <v>3915</v>
      </c>
      <c r="AU273">
        <v>1999</v>
      </c>
      <c r="AV273">
        <v>266</v>
      </c>
      <c r="AW273">
        <v>1429</v>
      </c>
      <c r="AX273" t="s">
        <v>74</v>
      </c>
      <c r="AY273" t="s">
        <v>74</v>
      </c>
      <c r="AZ273" t="s">
        <v>74</v>
      </c>
      <c r="BA273" t="s">
        <v>74</v>
      </c>
      <c r="BB273">
        <v>1623</v>
      </c>
      <c r="BC273">
        <v>1628</v>
      </c>
      <c r="BD273" t="s">
        <v>74</v>
      </c>
      <c r="BE273" t="s">
        <v>3916</v>
      </c>
      <c r="BF273" t="str">
        <f>HYPERLINK("http://dx.doi.org/10.1098/rspb.1999.0824","http://dx.doi.org/10.1098/rspb.1999.0824")</f>
        <v>http://dx.doi.org/10.1098/rspb.1999.0824</v>
      </c>
      <c r="BG273" t="s">
        <v>74</v>
      </c>
      <c r="BH273" t="s">
        <v>74</v>
      </c>
      <c r="BI273">
        <v>6</v>
      </c>
      <c r="BJ273" t="s">
        <v>3917</v>
      </c>
      <c r="BK273" t="s">
        <v>96</v>
      </c>
      <c r="BL273" t="s">
        <v>3918</v>
      </c>
      <c r="BM273" t="s">
        <v>3919</v>
      </c>
      <c r="BN273" t="s">
        <v>74</v>
      </c>
      <c r="BO273" t="s">
        <v>518</v>
      </c>
      <c r="BP273" t="s">
        <v>74</v>
      </c>
      <c r="BQ273" t="s">
        <v>74</v>
      </c>
      <c r="BR273" t="s">
        <v>99</v>
      </c>
      <c r="BS273" t="s">
        <v>3920</v>
      </c>
      <c r="BT273" t="str">
        <f>HYPERLINK("https%3A%2F%2Fwww.webofscience.com%2Fwos%2Fwoscc%2Ffull-record%2FWOS:000082118200003","View Full Record in Web of Science")</f>
        <v>View Full Record in Web of Science</v>
      </c>
    </row>
    <row r="274" spans="1:72" x14ac:dyDescent="0.15">
      <c r="A274" t="s">
        <v>72</v>
      </c>
      <c r="B274" t="s">
        <v>3921</v>
      </c>
      <c r="C274" t="s">
        <v>74</v>
      </c>
      <c r="D274" t="s">
        <v>74</v>
      </c>
      <c r="E274" t="s">
        <v>74</v>
      </c>
      <c r="F274" t="s">
        <v>3921</v>
      </c>
      <c r="G274" t="s">
        <v>74</v>
      </c>
      <c r="H274" t="s">
        <v>74</v>
      </c>
      <c r="I274" t="s">
        <v>3922</v>
      </c>
      <c r="J274" t="s">
        <v>180</v>
      </c>
      <c r="K274" t="s">
        <v>74</v>
      </c>
      <c r="L274" t="s">
        <v>74</v>
      </c>
      <c r="M274" t="s">
        <v>77</v>
      </c>
      <c r="N274" t="s">
        <v>78</v>
      </c>
      <c r="O274" t="s">
        <v>74</v>
      </c>
      <c r="P274" t="s">
        <v>74</v>
      </c>
      <c r="Q274" t="s">
        <v>74</v>
      </c>
      <c r="R274" t="s">
        <v>74</v>
      </c>
      <c r="S274" t="s">
        <v>74</v>
      </c>
      <c r="T274" t="s">
        <v>3923</v>
      </c>
      <c r="U274" t="s">
        <v>3924</v>
      </c>
      <c r="V274" t="s">
        <v>3925</v>
      </c>
      <c r="W274" t="s">
        <v>3926</v>
      </c>
      <c r="X274" t="s">
        <v>3927</v>
      </c>
      <c r="Y274" t="s">
        <v>3928</v>
      </c>
      <c r="Z274" t="s">
        <v>74</v>
      </c>
      <c r="AA274" t="s">
        <v>2951</v>
      </c>
      <c r="AB274" t="s">
        <v>2952</v>
      </c>
      <c r="AC274" t="s">
        <v>74</v>
      </c>
      <c r="AD274" t="s">
        <v>74</v>
      </c>
      <c r="AE274" t="s">
        <v>74</v>
      </c>
      <c r="AF274" t="s">
        <v>74</v>
      </c>
      <c r="AG274">
        <v>44</v>
      </c>
      <c r="AH274">
        <v>65</v>
      </c>
      <c r="AI274">
        <v>72</v>
      </c>
      <c r="AJ274">
        <v>1</v>
      </c>
      <c r="AK274">
        <v>14</v>
      </c>
      <c r="AL274" t="s">
        <v>189</v>
      </c>
      <c r="AM274" t="s">
        <v>190</v>
      </c>
      <c r="AN274" t="s">
        <v>191</v>
      </c>
      <c r="AO274" t="s">
        <v>192</v>
      </c>
      <c r="AP274" t="s">
        <v>74</v>
      </c>
      <c r="AQ274" t="s">
        <v>74</v>
      </c>
      <c r="AR274" t="s">
        <v>193</v>
      </c>
      <c r="AS274" t="s">
        <v>194</v>
      </c>
      <c r="AT274" t="s">
        <v>3929</v>
      </c>
      <c r="AU274">
        <v>1999</v>
      </c>
      <c r="AV274">
        <v>18</v>
      </c>
      <c r="AW274">
        <v>3</v>
      </c>
      <c r="AX274" t="s">
        <v>74</v>
      </c>
      <c r="AY274" t="s">
        <v>74</v>
      </c>
      <c r="AZ274" t="s">
        <v>74</v>
      </c>
      <c r="BA274" t="s">
        <v>74</v>
      </c>
      <c r="BB274">
        <v>263</v>
      </c>
      <c r="BC274">
        <v>273</v>
      </c>
      <c r="BD274" t="s">
        <v>74</v>
      </c>
      <c r="BE274" t="s">
        <v>3930</v>
      </c>
      <c r="BF274" t="str">
        <f>HYPERLINK("http://dx.doi.org/10.3354/ame018263","http://dx.doi.org/10.3354/ame018263")</f>
        <v>http://dx.doi.org/10.3354/ame018263</v>
      </c>
      <c r="BG274" t="s">
        <v>74</v>
      </c>
      <c r="BH274" t="s">
        <v>74</v>
      </c>
      <c r="BI274">
        <v>11</v>
      </c>
      <c r="BJ274" t="s">
        <v>197</v>
      </c>
      <c r="BK274" t="s">
        <v>96</v>
      </c>
      <c r="BL274" t="s">
        <v>198</v>
      </c>
      <c r="BM274" t="s">
        <v>3931</v>
      </c>
      <c r="BN274" t="s">
        <v>74</v>
      </c>
      <c r="BO274" t="s">
        <v>1505</v>
      </c>
      <c r="BP274" t="s">
        <v>74</v>
      </c>
      <c r="BQ274" t="s">
        <v>74</v>
      </c>
      <c r="BR274" t="s">
        <v>99</v>
      </c>
      <c r="BS274" t="s">
        <v>3932</v>
      </c>
      <c r="BT274" t="str">
        <f>HYPERLINK("https%3A%2F%2Fwww.webofscience.com%2Fwos%2Fwoscc%2Ffull-record%2FWOS:000082124500006","View Full Record in Web of Science")</f>
        <v>View Full Record in Web of Science</v>
      </c>
    </row>
    <row r="275" spans="1:72" x14ac:dyDescent="0.15">
      <c r="A275" t="s">
        <v>72</v>
      </c>
      <c r="B275" t="s">
        <v>3933</v>
      </c>
      <c r="C275" t="s">
        <v>74</v>
      </c>
      <c r="D275" t="s">
        <v>74</v>
      </c>
      <c r="E275" t="s">
        <v>74</v>
      </c>
      <c r="F275" t="s">
        <v>3933</v>
      </c>
      <c r="G275" t="s">
        <v>74</v>
      </c>
      <c r="H275" t="s">
        <v>74</v>
      </c>
      <c r="I275" t="s">
        <v>3934</v>
      </c>
      <c r="J275" t="s">
        <v>180</v>
      </c>
      <c r="K275" t="s">
        <v>74</v>
      </c>
      <c r="L275" t="s">
        <v>74</v>
      </c>
      <c r="M275" t="s">
        <v>77</v>
      </c>
      <c r="N275" t="s">
        <v>78</v>
      </c>
      <c r="O275" t="s">
        <v>74</v>
      </c>
      <c r="P275" t="s">
        <v>74</v>
      </c>
      <c r="Q275" t="s">
        <v>74</v>
      </c>
      <c r="R275" t="s">
        <v>74</v>
      </c>
      <c r="S275" t="s">
        <v>74</v>
      </c>
      <c r="T275" t="s">
        <v>3935</v>
      </c>
      <c r="U275" t="s">
        <v>3936</v>
      </c>
      <c r="V275" t="s">
        <v>3937</v>
      </c>
      <c r="W275" t="s">
        <v>3938</v>
      </c>
      <c r="X275" t="s">
        <v>3939</v>
      </c>
      <c r="Y275" t="s">
        <v>3940</v>
      </c>
      <c r="Z275" t="s">
        <v>3941</v>
      </c>
      <c r="AA275" t="s">
        <v>3942</v>
      </c>
      <c r="AB275" t="s">
        <v>3943</v>
      </c>
      <c r="AC275" t="s">
        <v>74</v>
      </c>
      <c r="AD275" t="s">
        <v>74</v>
      </c>
      <c r="AE275" t="s">
        <v>74</v>
      </c>
      <c r="AF275" t="s">
        <v>74</v>
      </c>
      <c r="AG275">
        <v>50</v>
      </c>
      <c r="AH275">
        <v>115</v>
      </c>
      <c r="AI275">
        <v>128</v>
      </c>
      <c r="AJ275">
        <v>1</v>
      </c>
      <c r="AK275">
        <v>18</v>
      </c>
      <c r="AL275" t="s">
        <v>189</v>
      </c>
      <c r="AM275" t="s">
        <v>190</v>
      </c>
      <c r="AN275" t="s">
        <v>191</v>
      </c>
      <c r="AO275" t="s">
        <v>192</v>
      </c>
      <c r="AP275" t="s">
        <v>74</v>
      </c>
      <c r="AQ275" t="s">
        <v>74</v>
      </c>
      <c r="AR275" t="s">
        <v>193</v>
      </c>
      <c r="AS275" t="s">
        <v>194</v>
      </c>
      <c r="AT275" t="s">
        <v>3929</v>
      </c>
      <c r="AU275">
        <v>1999</v>
      </c>
      <c r="AV275">
        <v>18</v>
      </c>
      <c r="AW275">
        <v>3</v>
      </c>
      <c r="AX275" t="s">
        <v>74</v>
      </c>
      <c r="AY275" t="s">
        <v>74</v>
      </c>
      <c r="AZ275" t="s">
        <v>74</v>
      </c>
      <c r="BA275" t="s">
        <v>74</v>
      </c>
      <c r="BB275">
        <v>275</v>
      </c>
      <c r="BC275">
        <v>284</v>
      </c>
      <c r="BD275" t="s">
        <v>74</v>
      </c>
      <c r="BE275" t="s">
        <v>3944</v>
      </c>
      <c r="BF275" t="str">
        <f>HYPERLINK("http://dx.doi.org/10.3354/ame018275","http://dx.doi.org/10.3354/ame018275")</f>
        <v>http://dx.doi.org/10.3354/ame018275</v>
      </c>
      <c r="BG275" t="s">
        <v>74</v>
      </c>
      <c r="BH275" t="s">
        <v>74</v>
      </c>
      <c r="BI275">
        <v>10</v>
      </c>
      <c r="BJ275" t="s">
        <v>197</v>
      </c>
      <c r="BK275" t="s">
        <v>96</v>
      </c>
      <c r="BL275" t="s">
        <v>198</v>
      </c>
      <c r="BM275" t="s">
        <v>3931</v>
      </c>
      <c r="BN275" t="s">
        <v>74</v>
      </c>
      <c r="BO275" t="s">
        <v>250</v>
      </c>
      <c r="BP275" t="s">
        <v>74</v>
      </c>
      <c r="BQ275" t="s">
        <v>74</v>
      </c>
      <c r="BR275" t="s">
        <v>99</v>
      </c>
      <c r="BS275" t="s">
        <v>3945</v>
      </c>
      <c r="BT275" t="str">
        <f>HYPERLINK("https%3A%2F%2Fwww.webofscience.com%2Fwos%2Fwoscc%2Ffull-record%2FWOS:000082124500007","View Full Record in Web of Science")</f>
        <v>View Full Record in Web of Science</v>
      </c>
    </row>
    <row r="276" spans="1:72" x14ac:dyDescent="0.15">
      <c r="A276" t="s">
        <v>72</v>
      </c>
      <c r="B276" t="s">
        <v>3946</v>
      </c>
      <c r="C276" t="s">
        <v>74</v>
      </c>
      <c r="D276" t="s">
        <v>74</v>
      </c>
      <c r="E276" t="s">
        <v>74</v>
      </c>
      <c r="F276" t="s">
        <v>3946</v>
      </c>
      <c r="G276" t="s">
        <v>74</v>
      </c>
      <c r="H276" t="s">
        <v>74</v>
      </c>
      <c r="I276" t="s">
        <v>3947</v>
      </c>
      <c r="J276" t="s">
        <v>221</v>
      </c>
      <c r="K276" t="s">
        <v>74</v>
      </c>
      <c r="L276" t="s">
        <v>74</v>
      </c>
      <c r="M276" t="s">
        <v>77</v>
      </c>
      <c r="N276" t="s">
        <v>254</v>
      </c>
      <c r="O276" t="s">
        <v>74</v>
      </c>
      <c r="P276" t="s">
        <v>74</v>
      </c>
      <c r="Q276" t="s">
        <v>74</v>
      </c>
      <c r="R276" t="s">
        <v>74</v>
      </c>
      <c r="S276" t="s">
        <v>74</v>
      </c>
      <c r="T276" t="s">
        <v>74</v>
      </c>
      <c r="U276" t="s">
        <v>3948</v>
      </c>
      <c r="V276" t="s">
        <v>3949</v>
      </c>
      <c r="W276" t="s">
        <v>3950</v>
      </c>
      <c r="X276" t="s">
        <v>3951</v>
      </c>
      <c r="Y276" t="s">
        <v>3952</v>
      </c>
      <c r="Z276" t="s">
        <v>3953</v>
      </c>
      <c r="AA276" t="s">
        <v>3954</v>
      </c>
      <c r="AB276" t="s">
        <v>74</v>
      </c>
      <c r="AC276" t="s">
        <v>74</v>
      </c>
      <c r="AD276" t="s">
        <v>74</v>
      </c>
      <c r="AE276" t="s">
        <v>74</v>
      </c>
      <c r="AF276" t="s">
        <v>74</v>
      </c>
      <c r="AG276">
        <v>57</v>
      </c>
      <c r="AH276">
        <v>39</v>
      </c>
      <c r="AI276">
        <v>40</v>
      </c>
      <c r="AJ276">
        <v>2</v>
      </c>
      <c r="AK276">
        <v>8</v>
      </c>
      <c r="AL276" t="s">
        <v>230</v>
      </c>
      <c r="AM276" t="s">
        <v>231</v>
      </c>
      <c r="AN276" t="s">
        <v>232</v>
      </c>
      <c r="AO276" t="s">
        <v>233</v>
      </c>
      <c r="AP276" t="s">
        <v>74</v>
      </c>
      <c r="AQ276" t="s">
        <v>74</v>
      </c>
      <c r="AR276" t="s">
        <v>234</v>
      </c>
      <c r="AS276" t="s">
        <v>235</v>
      </c>
      <c r="AT276" t="s">
        <v>3929</v>
      </c>
      <c r="AU276">
        <v>1999</v>
      </c>
      <c r="AV276">
        <v>104</v>
      </c>
      <c r="AW276" t="s">
        <v>3955</v>
      </c>
      <c r="AX276" t="s">
        <v>74</v>
      </c>
      <c r="AY276" t="s">
        <v>74</v>
      </c>
      <c r="AZ276" t="s">
        <v>74</v>
      </c>
      <c r="BA276" t="s">
        <v>74</v>
      </c>
      <c r="BB276">
        <v>18739</v>
      </c>
      <c r="BC276">
        <v>18754</v>
      </c>
      <c r="BD276" t="s">
        <v>74</v>
      </c>
      <c r="BE276" t="s">
        <v>3956</v>
      </c>
      <c r="BF276" t="str">
        <f>HYPERLINK("http://dx.doi.org/10.1029/1999JD900281","http://dx.doi.org/10.1029/1999JD900281")</f>
        <v>http://dx.doi.org/10.1029/1999JD900281</v>
      </c>
      <c r="BG276" t="s">
        <v>74</v>
      </c>
      <c r="BH276" t="s">
        <v>74</v>
      </c>
      <c r="BI276">
        <v>16</v>
      </c>
      <c r="BJ276" t="s">
        <v>95</v>
      </c>
      <c r="BK276" t="s">
        <v>96</v>
      </c>
      <c r="BL276" t="s">
        <v>95</v>
      </c>
      <c r="BM276" t="s">
        <v>3957</v>
      </c>
      <c r="BN276" t="s">
        <v>74</v>
      </c>
      <c r="BO276" t="s">
        <v>250</v>
      </c>
      <c r="BP276" t="s">
        <v>74</v>
      </c>
      <c r="BQ276" t="s">
        <v>74</v>
      </c>
      <c r="BR276" t="s">
        <v>99</v>
      </c>
      <c r="BS276" t="s">
        <v>3958</v>
      </c>
      <c r="BT276" t="str">
        <f>HYPERLINK("https%3A%2F%2Fwww.webofscience.com%2Fwos%2Fwoscc%2Ffull-record%2FWOS:000082128500018","View Full Record in Web of Science")</f>
        <v>View Full Record in Web of Science</v>
      </c>
    </row>
    <row r="277" spans="1:72" x14ac:dyDescent="0.15">
      <c r="A277" t="s">
        <v>72</v>
      </c>
      <c r="B277" t="s">
        <v>3959</v>
      </c>
      <c r="C277" t="s">
        <v>74</v>
      </c>
      <c r="D277" t="s">
        <v>74</v>
      </c>
      <c r="E277" t="s">
        <v>74</v>
      </c>
      <c r="F277" t="s">
        <v>3959</v>
      </c>
      <c r="G277" t="s">
        <v>74</v>
      </c>
      <c r="H277" t="s">
        <v>74</v>
      </c>
      <c r="I277" t="s">
        <v>3960</v>
      </c>
      <c r="J277" t="s">
        <v>221</v>
      </c>
      <c r="K277" t="s">
        <v>74</v>
      </c>
      <c r="L277" t="s">
        <v>74</v>
      </c>
      <c r="M277" t="s">
        <v>77</v>
      </c>
      <c r="N277" t="s">
        <v>78</v>
      </c>
      <c r="O277" t="s">
        <v>74</v>
      </c>
      <c r="P277" t="s">
        <v>74</v>
      </c>
      <c r="Q277" t="s">
        <v>74</v>
      </c>
      <c r="R277" t="s">
        <v>74</v>
      </c>
      <c r="S277" t="s">
        <v>74</v>
      </c>
      <c r="T277" t="s">
        <v>74</v>
      </c>
      <c r="U277" t="s">
        <v>3961</v>
      </c>
      <c r="V277" t="s">
        <v>3962</v>
      </c>
      <c r="W277" t="s">
        <v>3963</v>
      </c>
      <c r="X277" t="s">
        <v>3964</v>
      </c>
      <c r="Y277" t="s">
        <v>3965</v>
      </c>
      <c r="Z277" t="s">
        <v>3966</v>
      </c>
      <c r="AA277" t="s">
        <v>3967</v>
      </c>
      <c r="AB277" t="s">
        <v>3968</v>
      </c>
      <c r="AC277" t="s">
        <v>74</v>
      </c>
      <c r="AD277" t="s">
        <v>74</v>
      </c>
      <c r="AE277" t="s">
        <v>74</v>
      </c>
      <c r="AF277" t="s">
        <v>74</v>
      </c>
      <c r="AG277">
        <v>65</v>
      </c>
      <c r="AH277">
        <v>39</v>
      </c>
      <c r="AI277">
        <v>40</v>
      </c>
      <c r="AJ277">
        <v>0</v>
      </c>
      <c r="AK277">
        <v>3</v>
      </c>
      <c r="AL277" t="s">
        <v>230</v>
      </c>
      <c r="AM277" t="s">
        <v>231</v>
      </c>
      <c r="AN277" t="s">
        <v>232</v>
      </c>
      <c r="AO277" t="s">
        <v>233</v>
      </c>
      <c r="AP277" t="s">
        <v>74</v>
      </c>
      <c r="AQ277" t="s">
        <v>74</v>
      </c>
      <c r="AR277" t="s">
        <v>234</v>
      </c>
      <c r="AS277" t="s">
        <v>235</v>
      </c>
      <c r="AT277" t="s">
        <v>3929</v>
      </c>
      <c r="AU277">
        <v>1999</v>
      </c>
      <c r="AV277">
        <v>104</v>
      </c>
      <c r="AW277" t="s">
        <v>3955</v>
      </c>
      <c r="AX277" t="s">
        <v>74</v>
      </c>
      <c r="AY277" t="s">
        <v>74</v>
      </c>
      <c r="AZ277" t="s">
        <v>74</v>
      </c>
      <c r="BA277" t="s">
        <v>74</v>
      </c>
      <c r="BB277">
        <v>18755</v>
      </c>
      <c r="BC277">
        <v>18768</v>
      </c>
      <c r="BD277" t="s">
        <v>74</v>
      </c>
      <c r="BE277" t="s">
        <v>3969</v>
      </c>
      <c r="BF277" t="str">
        <f>HYPERLINK("http://dx.doi.org/10.1029/1999JD900287","http://dx.doi.org/10.1029/1999JD900287")</f>
        <v>http://dx.doi.org/10.1029/1999JD900287</v>
      </c>
      <c r="BG277" t="s">
        <v>74</v>
      </c>
      <c r="BH277" t="s">
        <v>74</v>
      </c>
      <c r="BI277">
        <v>14</v>
      </c>
      <c r="BJ277" t="s">
        <v>95</v>
      </c>
      <c r="BK277" t="s">
        <v>96</v>
      </c>
      <c r="BL277" t="s">
        <v>95</v>
      </c>
      <c r="BM277" t="s">
        <v>3957</v>
      </c>
      <c r="BN277" t="s">
        <v>74</v>
      </c>
      <c r="BO277" t="s">
        <v>74</v>
      </c>
      <c r="BP277" t="s">
        <v>74</v>
      </c>
      <c r="BQ277" t="s">
        <v>74</v>
      </c>
      <c r="BR277" t="s">
        <v>99</v>
      </c>
      <c r="BS277" t="s">
        <v>3970</v>
      </c>
      <c r="BT277" t="str">
        <f>HYPERLINK("https%3A%2F%2Fwww.webofscience.com%2Fwos%2Fwoscc%2Ffull-record%2FWOS:000082128500019","View Full Record in Web of Science")</f>
        <v>View Full Record in Web of Science</v>
      </c>
    </row>
    <row r="278" spans="1:72" x14ac:dyDescent="0.15">
      <c r="A278" t="s">
        <v>72</v>
      </c>
      <c r="B278" t="s">
        <v>3971</v>
      </c>
      <c r="C278" t="s">
        <v>74</v>
      </c>
      <c r="D278" t="s">
        <v>74</v>
      </c>
      <c r="E278" t="s">
        <v>74</v>
      </c>
      <c r="F278" t="s">
        <v>3971</v>
      </c>
      <c r="G278" t="s">
        <v>74</v>
      </c>
      <c r="H278" t="s">
        <v>74</v>
      </c>
      <c r="I278" t="s">
        <v>3972</v>
      </c>
      <c r="J278" t="s">
        <v>221</v>
      </c>
      <c r="K278" t="s">
        <v>74</v>
      </c>
      <c r="L278" t="s">
        <v>74</v>
      </c>
      <c r="M278" t="s">
        <v>77</v>
      </c>
      <c r="N278" t="s">
        <v>78</v>
      </c>
      <c r="O278" t="s">
        <v>74</v>
      </c>
      <c r="P278" t="s">
        <v>74</v>
      </c>
      <c r="Q278" t="s">
        <v>74</v>
      </c>
      <c r="R278" t="s">
        <v>74</v>
      </c>
      <c r="S278" t="s">
        <v>74</v>
      </c>
      <c r="T278" t="s">
        <v>74</v>
      </c>
      <c r="U278" t="s">
        <v>3973</v>
      </c>
      <c r="V278" t="s">
        <v>3974</v>
      </c>
      <c r="W278" t="s">
        <v>3975</v>
      </c>
      <c r="X278" t="s">
        <v>258</v>
      </c>
      <c r="Y278" t="s">
        <v>3976</v>
      </c>
      <c r="Z278" t="s">
        <v>3977</v>
      </c>
      <c r="AA278" t="s">
        <v>3978</v>
      </c>
      <c r="AB278" t="s">
        <v>3979</v>
      </c>
      <c r="AC278" t="s">
        <v>74</v>
      </c>
      <c r="AD278" t="s">
        <v>74</v>
      </c>
      <c r="AE278" t="s">
        <v>74</v>
      </c>
      <c r="AF278" t="s">
        <v>74</v>
      </c>
      <c r="AG278">
        <v>43</v>
      </c>
      <c r="AH278">
        <v>17</v>
      </c>
      <c r="AI278">
        <v>21</v>
      </c>
      <c r="AJ278">
        <v>0</v>
      </c>
      <c r="AK278">
        <v>1</v>
      </c>
      <c r="AL278" t="s">
        <v>230</v>
      </c>
      <c r="AM278" t="s">
        <v>231</v>
      </c>
      <c r="AN278" t="s">
        <v>232</v>
      </c>
      <c r="AO278" t="s">
        <v>233</v>
      </c>
      <c r="AP278" t="s">
        <v>74</v>
      </c>
      <c r="AQ278" t="s">
        <v>74</v>
      </c>
      <c r="AR278" t="s">
        <v>234</v>
      </c>
      <c r="AS278" t="s">
        <v>235</v>
      </c>
      <c r="AT278" t="s">
        <v>3929</v>
      </c>
      <c r="AU278">
        <v>1999</v>
      </c>
      <c r="AV278">
        <v>104</v>
      </c>
      <c r="AW278" t="s">
        <v>3955</v>
      </c>
      <c r="AX278" t="s">
        <v>74</v>
      </c>
      <c r="AY278" t="s">
        <v>74</v>
      </c>
      <c r="AZ278" t="s">
        <v>74</v>
      </c>
      <c r="BA278" t="s">
        <v>74</v>
      </c>
      <c r="BB278">
        <v>18769</v>
      </c>
      <c r="BC278">
        <v>18783</v>
      </c>
      <c r="BD278" t="s">
        <v>74</v>
      </c>
      <c r="BE278" t="s">
        <v>3980</v>
      </c>
      <c r="BF278" t="str">
        <f>HYPERLINK("http://dx.doi.org/10.1029/1999JD900301","http://dx.doi.org/10.1029/1999JD900301")</f>
        <v>http://dx.doi.org/10.1029/1999JD900301</v>
      </c>
      <c r="BG278" t="s">
        <v>74</v>
      </c>
      <c r="BH278" t="s">
        <v>74</v>
      </c>
      <c r="BI278">
        <v>15</v>
      </c>
      <c r="BJ278" t="s">
        <v>95</v>
      </c>
      <c r="BK278" t="s">
        <v>96</v>
      </c>
      <c r="BL278" t="s">
        <v>95</v>
      </c>
      <c r="BM278" t="s">
        <v>3957</v>
      </c>
      <c r="BN278" t="s">
        <v>74</v>
      </c>
      <c r="BO278" t="s">
        <v>250</v>
      </c>
      <c r="BP278" t="s">
        <v>74</v>
      </c>
      <c r="BQ278" t="s">
        <v>74</v>
      </c>
      <c r="BR278" t="s">
        <v>99</v>
      </c>
      <c r="BS278" t="s">
        <v>3981</v>
      </c>
      <c r="BT278" t="str">
        <f>HYPERLINK("https%3A%2F%2Fwww.webofscience.com%2Fwos%2Fwoscc%2Ffull-record%2FWOS:000082128500020","View Full Record in Web of Science")</f>
        <v>View Full Record in Web of Science</v>
      </c>
    </row>
    <row r="279" spans="1:72" x14ac:dyDescent="0.15">
      <c r="A279" t="s">
        <v>72</v>
      </c>
      <c r="B279" t="s">
        <v>3982</v>
      </c>
      <c r="C279" t="s">
        <v>74</v>
      </c>
      <c r="D279" t="s">
        <v>74</v>
      </c>
      <c r="E279" t="s">
        <v>74</v>
      </c>
      <c r="F279" t="s">
        <v>3982</v>
      </c>
      <c r="G279" t="s">
        <v>74</v>
      </c>
      <c r="H279" t="s">
        <v>74</v>
      </c>
      <c r="I279" t="s">
        <v>3983</v>
      </c>
      <c r="J279" t="s">
        <v>221</v>
      </c>
      <c r="K279" t="s">
        <v>74</v>
      </c>
      <c r="L279" t="s">
        <v>74</v>
      </c>
      <c r="M279" t="s">
        <v>77</v>
      </c>
      <c r="N279" t="s">
        <v>254</v>
      </c>
      <c r="O279" t="s">
        <v>74</v>
      </c>
      <c r="P279" t="s">
        <v>74</v>
      </c>
      <c r="Q279" t="s">
        <v>74</v>
      </c>
      <c r="R279" t="s">
        <v>74</v>
      </c>
      <c r="S279" t="s">
        <v>74</v>
      </c>
      <c r="T279" t="s">
        <v>74</v>
      </c>
      <c r="U279" t="s">
        <v>3984</v>
      </c>
      <c r="V279" t="s">
        <v>3985</v>
      </c>
      <c r="W279" t="s">
        <v>3986</v>
      </c>
      <c r="X279" t="s">
        <v>3987</v>
      </c>
      <c r="Y279" t="s">
        <v>3988</v>
      </c>
      <c r="Z279" t="s">
        <v>3989</v>
      </c>
      <c r="AA279" t="s">
        <v>3990</v>
      </c>
      <c r="AB279" t="s">
        <v>316</v>
      </c>
      <c r="AC279" t="s">
        <v>74</v>
      </c>
      <c r="AD279" t="s">
        <v>74</v>
      </c>
      <c r="AE279" t="s">
        <v>74</v>
      </c>
      <c r="AF279" t="s">
        <v>74</v>
      </c>
      <c r="AG279">
        <v>76</v>
      </c>
      <c r="AH279">
        <v>59</v>
      </c>
      <c r="AI279">
        <v>63</v>
      </c>
      <c r="AJ279">
        <v>0</v>
      </c>
      <c r="AK279">
        <v>5</v>
      </c>
      <c r="AL279" t="s">
        <v>230</v>
      </c>
      <c r="AM279" t="s">
        <v>231</v>
      </c>
      <c r="AN279" t="s">
        <v>232</v>
      </c>
      <c r="AO279" t="s">
        <v>233</v>
      </c>
      <c r="AP279" t="s">
        <v>74</v>
      </c>
      <c r="AQ279" t="s">
        <v>74</v>
      </c>
      <c r="AR279" t="s">
        <v>234</v>
      </c>
      <c r="AS279" t="s">
        <v>235</v>
      </c>
      <c r="AT279" t="s">
        <v>3929</v>
      </c>
      <c r="AU279">
        <v>1999</v>
      </c>
      <c r="AV279">
        <v>104</v>
      </c>
      <c r="AW279" t="s">
        <v>3955</v>
      </c>
      <c r="AX279" t="s">
        <v>74</v>
      </c>
      <c r="AY279" t="s">
        <v>74</v>
      </c>
      <c r="AZ279" t="s">
        <v>74</v>
      </c>
      <c r="BA279" t="s">
        <v>74</v>
      </c>
      <c r="BB279">
        <v>18841</v>
      </c>
      <c r="BC279">
        <v>18866</v>
      </c>
      <c r="BD279" t="s">
        <v>74</v>
      </c>
      <c r="BE279" t="s">
        <v>3991</v>
      </c>
      <c r="BF279" t="str">
        <f>HYPERLINK("http://dx.doi.org/10.1029/1999JD900317","http://dx.doi.org/10.1029/1999JD900317")</f>
        <v>http://dx.doi.org/10.1029/1999JD900317</v>
      </c>
      <c r="BG279" t="s">
        <v>74</v>
      </c>
      <c r="BH279" t="s">
        <v>74</v>
      </c>
      <c r="BI279">
        <v>26</v>
      </c>
      <c r="BJ279" t="s">
        <v>95</v>
      </c>
      <c r="BK279" t="s">
        <v>96</v>
      </c>
      <c r="BL279" t="s">
        <v>95</v>
      </c>
      <c r="BM279" t="s">
        <v>3957</v>
      </c>
      <c r="BN279" t="s">
        <v>74</v>
      </c>
      <c r="BO279" t="s">
        <v>250</v>
      </c>
      <c r="BP279" t="s">
        <v>74</v>
      </c>
      <c r="BQ279" t="s">
        <v>74</v>
      </c>
      <c r="BR279" t="s">
        <v>99</v>
      </c>
      <c r="BS279" t="s">
        <v>3992</v>
      </c>
      <c r="BT279" t="str">
        <f>HYPERLINK("https%3A%2F%2Fwww.webofscience.com%2Fwos%2Fwoscc%2Ffull-record%2FWOS:000082128500024","View Full Record in Web of Science")</f>
        <v>View Full Record in Web of Science</v>
      </c>
    </row>
    <row r="280" spans="1:72" x14ac:dyDescent="0.15">
      <c r="A280" t="s">
        <v>72</v>
      </c>
      <c r="B280" t="s">
        <v>3993</v>
      </c>
      <c r="C280" t="s">
        <v>74</v>
      </c>
      <c r="D280" t="s">
        <v>74</v>
      </c>
      <c r="E280" t="s">
        <v>74</v>
      </c>
      <c r="F280" t="s">
        <v>3993</v>
      </c>
      <c r="G280" t="s">
        <v>74</v>
      </c>
      <c r="H280" t="s">
        <v>74</v>
      </c>
      <c r="I280" t="s">
        <v>3994</v>
      </c>
      <c r="J280" t="s">
        <v>378</v>
      </c>
      <c r="K280" t="s">
        <v>74</v>
      </c>
      <c r="L280" t="s">
        <v>74</v>
      </c>
      <c r="M280" t="s">
        <v>77</v>
      </c>
      <c r="N280" t="s">
        <v>78</v>
      </c>
      <c r="O280" t="s">
        <v>74</v>
      </c>
      <c r="P280" t="s">
        <v>74</v>
      </c>
      <c r="Q280" t="s">
        <v>74</v>
      </c>
      <c r="R280" t="s">
        <v>74</v>
      </c>
      <c r="S280" t="s">
        <v>74</v>
      </c>
      <c r="T280" t="s">
        <v>74</v>
      </c>
      <c r="U280" t="s">
        <v>3995</v>
      </c>
      <c r="V280" t="s">
        <v>3996</v>
      </c>
      <c r="W280" t="s">
        <v>3997</v>
      </c>
      <c r="X280" t="s">
        <v>3998</v>
      </c>
      <c r="Y280" t="s">
        <v>3999</v>
      </c>
      <c r="Z280" t="s">
        <v>74</v>
      </c>
      <c r="AA280" t="s">
        <v>4000</v>
      </c>
      <c r="AB280" t="s">
        <v>4001</v>
      </c>
      <c r="AC280" t="s">
        <v>74</v>
      </c>
      <c r="AD280" t="s">
        <v>74</v>
      </c>
      <c r="AE280" t="s">
        <v>74</v>
      </c>
      <c r="AF280" t="s">
        <v>74</v>
      </c>
      <c r="AG280">
        <v>16</v>
      </c>
      <c r="AH280">
        <v>80</v>
      </c>
      <c r="AI280">
        <v>88</v>
      </c>
      <c r="AJ280">
        <v>0</v>
      </c>
      <c r="AK280">
        <v>7</v>
      </c>
      <c r="AL280" t="s">
        <v>230</v>
      </c>
      <c r="AM280" t="s">
        <v>231</v>
      </c>
      <c r="AN280" t="s">
        <v>232</v>
      </c>
      <c r="AO280" t="s">
        <v>382</v>
      </c>
      <c r="AP280" t="s">
        <v>74</v>
      </c>
      <c r="AQ280" t="s">
        <v>74</v>
      </c>
      <c r="AR280" t="s">
        <v>383</v>
      </c>
      <c r="AS280" t="s">
        <v>384</v>
      </c>
      <c r="AT280" t="s">
        <v>4002</v>
      </c>
      <c r="AU280">
        <v>1999</v>
      </c>
      <c r="AV280">
        <v>26</v>
      </c>
      <c r="AW280">
        <v>16</v>
      </c>
      <c r="AX280" t="s">
        <v>74</v>
      </c>
      <c r="AY280" t="s">
        <v>74</v>
      </c>
      <c r="AZ280" t="s">
        <v>74</v>
      </c>
      <c r="BA280" t="s">
        <v>74</v>
      </c>
      <c r="BB280">
        <v>2505</v>
      </c>
      <c r="BC280">
        <v>2508</v>
      </c>
      <c r="BD280" t="s">
        <v>74</v>
      </c>
      <c r="BE280" t="s">
        <v>4003</v>
      </c>
      <c r="BF280" t="str">
        <f>HYPERLINK("http://dx.doi.org/10.1029/1999GL900547","http://dx.doi.org/10.1029/1999GL900547")</f>
        <v>http://dx.doi.org/10.1029/1999GL900547</v>
      </c>
      <c r="BG280" t="s">
        <v>74</v>
      </c>
      <c r="BH280" t="s">
        <v>74</v>
      </c>
      <c r="BI280">
        <v>4</v>
      </c>
      <c r="BJ280" t="s">
        <v>387</v>
      </c>
      <c r="BK280" t="s">
        <v>96</v>
      </c>
      <c r="BL280" t="s">
        <v>388</v>
      </c>
      <c r="BM280" t="s">
        <v>4004</v>
      </c>
      <c r="BN280" t="s">
        <v>74</v>
      </c>
      <c r="BO280" t="s">
        <v>250</v>
      </c>
      <c r="BP280" t="s">
        <v>74</v>
      </c>
      <c r="BQ280" t="s">
        <v>74</v>
      </c>
      <c r="BR280" t="s">
        <v>99</v>
      </c>
      <c r="BS280" t="s">
        <v>4005</v>
      </c>
      <c r="BT280" t="str">
        <f>HYPERLINK("https%3A%2F%2Fwww.webofscience.com%2Fwos%2Fwoscc%2Ffull-record%2FWOS:000082011200025","View Full Record in Web of Science")</f>
        <v>View Full Record in Web of Science</v>
      </c>
    </row>
    <row r="281" spans="1:72" x14ac:dyDescent="0.15">
      <c r="A281" t="s">
        <v>72</v>
      </c>
      <c r="B281" t="s">
        <v>4006</v>
      </c>
      <c r="C281" t="s">
        <v>74</v>
      </c>
      <c r="D281" t="s">
        <v>74</v>
      </c>
      <c r="E281" t="s">
        <v>74</v>
      </c>
      <c r="F281" t="s">
        <v>4006</v>
      </c>
      <c r="G281" t="s">
        <v>74</v>
      </c>
      <c r="H281" t="s">
        <v>74</v>
      </c>
      <c r="I281" t="s">
        <v>4007</v>
      </c>
      <c r="J281" t="s">
        <v>378</v>
      </c>
      <c r="K281" t="s">
        <v>74</v>
      </c>
      <c r="L281" t="s">
        <v>74</v>
      </c>
      <c r="M281" t="s">
        <v>77</v>
      </c>
      <c r="N281" t="s">
        <v>78</v>
      </c>
      <c r="O281" t="s">
        <v>74</v>
      </c>
      <c r="P281" t="s">
        <v>74</v>
      </c>
      <c r="Q281" t="s">
        <v>74</v>
      </c>
      <c r="R281" t="s">
        <v>74</v>
      </c>
      <c r="S281" t="s">
        <v>74</v>
      </c>
      <c r="T281" t="s">
        <v>74</v>
      </c>
      <c r="U281" t="s">
        <v>4008</v>
      </c>
      <c r="V281" t="s">
        <v>4009</v>
      </c>
      <c r="W281" t="s">
        <v>4010</v>
      </c>
      <c r="X281" t="s">
        <v>4011</v>
      </c>
      <c r="Y281" t="s">
        <v>4012</v>
      </c>
      <c r="Z281" t="s">
        <v>74</v>
      </c>
      <c r="AA281" t="s">
        <v>4013</v>
      </c>
      <c r="AB281" t="s">
        <v>4014</v>
      </c>
      <c r="AC281" t="s">
        <v>74</v>
      </c>
      <c r="AD281" t="s">
        <v>74</v>
      </c>
      <c r="AE281" t="s">
        <v>74</v>
      </c>
      <c r="AF281" t="s">
        <v>74</v>
      </c>
      <c r="AG281">
        <v>18</v>
      </c>
      <c r="AH281">
        <v>43</v>
      </c>
      <c r="AI281">
        <v>43</v>
      </c>
      <c r="AJ281">
        <v>0</v>
      </c>
      <c r="AK281">
        <v>0</v>
      </c>
      <c r="AL281" t="s">
        <v>230</v>
      </c>
      <c r="AM281" t="s">
        <v>231</v>
      </c>
      <c r="AN281" t="s">
        <v>232</v>
      </c>
      <c r="AO281" t="s">
        <v>382</v>
      </c>
      <c r="AP281" t="s">
        <v>74</v>
      </c>
      <c r="AQ281" t="s">
        <v>74</v>
      </c>
      <c r="AR281" t="s">
        <v>383</v>
      </c>
      <c r="AS281" t="s">
        <v>384</v>
      </c>
      <c r="AT281" t="s">
        <v>4002</v>
      </c>
      <c r="AU281">
        <v>1999</v>
      </c>
      <c r="AV281">
        <v>26</v>
      </c>
      <c r="AW281">
        <v>16</v>
      </c>
      <c r="AX281" t="s">
        <v>74</v>
      </c>
      <c r="AY281" t="s">
        <v>74</v>
      </c>
      <c r="AZ281" t="s">
        <v>74</v>
      </c>
      <c r="BA281" t="s">
        <v>74</v>
      </c>
      <c r="BB281">
        <v>2617</v>
      </c>
      <c r="BC281">
        <v>2620</v>
      </c>
      <c r="BD281" t="s">
        <v>74</v>
      </c>
      <c r="BE281" t="s">
        <v>4015</v>
      </c>
      <c r="BF281" t="str">
        <f>HYPERLINK("http://dx.doi.org/10.1029/1999GL900586","http://dx.doi.org/10.1029/1999GL900586")</f>
        <v>http://dx.doi.org/10.1029/1999GL900586</v>
      </c>
      <c r="BG281" t="s">
        <v>74</v>
      </c>
      <c r="BH281" t="s">
        <v>74</v>
      </c>
      <c r="BI281">
        <v>4</v>
      </c>
      <c r="BJ281" t="s">
        <v>387</v>
      </c>
      <c r="BK281" t="s">
        <v>96</v>
      </c>
      <c r="BL281" t="s">
        <v>388</v>
      </c>
      <c r="BM281" t="s">
        <v>4004</v>
      </c>
      <c r="BN281" t="s">
        <v>74</v>
      </c>
      <c r="BO281" t="s">
        <v>250</v>
      </c>
      <c r="BP281" t="s">
        <v>74</v>
      </c>
      <c r="BQ281" t="s">
        <v>74</v>
      </c>
      <c r="BR281" t="s">
        <v>99</v>
      </c>
      <c r="BS281" t="s">
        <v>4016</v>
      </c>
      <c r="BT281" t="str">
        <f>HYPERLINK("https%3A%2F%2Fwww.webofscience.com%2Fwos%2Fwoscc%2Ffull-record%2FWOS:000082011200053","View Full Record in Web of Science")</f>
        <v>View Full Record in Web of Science</v>
      </c>
    </row>
    <row r="282" spans="1:72" x14ac:dyDescent="0.15">
      <c r="A282" t="s">
        <v>72</v>
      </c>
      <c r="B282" t="s">
        <v>4017</v>
      </c>
      <c r="C282" t="s">
        <v>74</v>
      </c>
      <c r="D282" t="s">
        <v>74</v>
      </c>
      <c r="E282" t="s">
        <v>74</v>
      </c>
      <c r="F282" t="s">
        <v>4017</v>
      </c>
      <c r="G282" t="s">
        <v>74</v>
      </c>
      <c r="H282" t="s">
        <v>74</v>
      </c>
      <c r="I282" t="s">
        <v>4018</v>
      </c>
      <c r="J282" t="s">
        <v>4019</v>
      </c>
      <c r="K282" t="s">
        <v>74</v>
      </c>
      <c r="L282" t="s">
        <v>74</v>
      </c>
      <c r="M282" t="s">
        <v>77</v>
      </c>
      <c r="N282" t="s">
        <v>78</v>
      </c>
      <c r="O282" t="s">
        <v>74</v>
      </c>
      <c r="P282" t="s">
        <v>74</v>
      </c>
      <c r="Q282" t="s">
        <v>74</v>
      </c>
      <c r="R282" t="s">
        <v>74</v>
      </c>
      <c r="S282" t="s">
        <v>74</v>
      </c>
      <c r="T282" t="s">
        <v>4020</v>
      </c>
      <c r="U282" t="s">
        <v>4021</v>
      </c>
      <c r="V282" t="s">
        <v>4022</v>
      </c>
      <c r="W282" t="s">
        <v>4023</v>
      </c>
      <c r="X282" t="s">
        <v>4024</v>
      </c>
      <c r="Y282" t="s">
        <v>4025</v>
      </c>
      <c r="Z282" t="s">
        <v>4026</v>
      </c>
      <c r="AA282" t="s">
        <v>4027</v>
      </c>
      <c r="AB282" t="s">
        <v>4028</v>
      </c>
      <c r="AC282" t="s">
        <v>74</v>
      </c>
      <c r="AD282" t="s">
        <v>74</v>
      </c>
      <c r="AE282" t="s">
        <v>74</v>
      </c>
      <c r="AF282" t="s">
        <v>74</v>
      </c>
      <c r="AG282">
        <v>30</v>
      </c>
      <c r="AH282">
        <v>31</v>
      </c>
      <c r="AI282">
        <v>33</v>
      </c>
      <c r="AJ282">
        <v>3</v>
      </c>
      <c r="AK282">
        <v>13</v>
      </c>
      <c r="AL282" t="s">
        <v>210</v>
      </c>
      <c r="AM282" t="s">
        <v>211</v>
      </c>
      <c r="AN282" t="s">
        <v>212</v>
      </c>
      <c r="AO282" t="s">
        <v>4029</v>
      </c>
      <c r="AP282" t="s">
        <v>74</v>
      </c>
      <c r="AQ282" t="s">
        <v>74</v>
      </c>
      <c r="AR282" t="s">
        <v>4030</v>
      </c>
      <c r="AS282" t="s">
        <v>4031</v>
      </c>
      <c r="AT282" t="s">
        <v>4032</v>
      </c>
      <c r="AU282">
        <v>1999</v>
      </c>
      <c r="AV282">
        <v>485</v>
      </c>
      <c r="AW282" t="s">
        <v>74</v>
      </c>
      <c r="AX282" t="s">
        <v>74</v>
      </c>
      <c r="AY282" t="s">
        <v>74</v>
      </c>
      <c r="AZ282" t="s">
        <v>4033</v>
      </c>
      <c r="BA282" t="s">
        <v>74</v>
      </c>
      <c r="BB282">
        <v>555</v>
      </c>
      <c r="BC282">
        <v>567</v>
      </c>
      <c r="BD282" t="s">
        <v>74</v>
      </c>
      <c r="BE282" t="s">
        <v>4034</v>
      </c>
      <c r="BF282" t="str">
        <f>HYPERLINK("http://dx.doi.org/10.1016/S0022-2860(99)00057-5","http://dx.doi.org/10.1016/S0022-2860(99)00057-5")</f>
        <v>http://dx.doi.org/10.1016/S0022-2860(99)00057-5</v>
      </c>
      <c r="BG282" t="s">
        <v>74</v>
      </c>
      <c r="BH282" t="s">
        <v>74</v>
      </c>
      <c r="BI282">
        <v>13</v>
      </c>
      <c r="BJ282" t="s">
        <v>2640</v>
      </c>
      <c r="BK282" t="s">
        <v>96</v>
      </c>
      <c r="BL282" t="s">
        <v>285</v>
      </c>
      <c r="BM282" t="s">
        <v>4035</v>
      </c>
      <c r="BN282" t="s">
        <v>74</v>
      </c>
      <c r="BO282" t="s">
        <v>74</v>
      </c>
      <c r="BP282" t="s">
        <v>74</v>
      </c>
      <c r="BQ282" t="s">
        <v>74</v>
      </c>
      <c r="BR282" t="s">
        <v>99</v>
      </c>
      <c r="BS282" t="s">
        <v>4036</v>
      </c>
      <c r="BT282" t="str">
        <f>HYPERLINK("https%3A%2F%2Fwww.webofscience.com%2Fwos%2Fwoscc%2Ffull-record%2FWOS:000082193100049","View Full Record in Web of Science")</f>
        <v>View Full Record in Web of Science</v>
      </c>
    </row>
    <row r="283" spans="1:72" x14ac:dyDescent="0.15">
      <c r="A283" t="s">
        <v>72</v>
      </c>
      <c r="B283" t="s">
        <v>4037</v>
      </c>
      <c r="C283" t="s">
        <v>74</v>
      </c>
      <c r="D283" t="s">
        <v>74</v>
      </c>
      <c r="E283" t="s">
        <v>74</v>
      </c>
      <c r="F283" t="s">
        <v>4037</v>
      </c>
      <c r="G283" t="s">
        <v>74</v>
      </c>
      <c r="H283" t="s">
        <v>74</v>
      </c>
      <c r="I283" t="s">
        <v>4038</v>
      </c>
      <c r="J283" t="s">
        <v>4039</v>
      </c>
      <c r="K283" t="s">
        <v>74</v>
      </c>
      <c r="L283" t="s">
        <v>74</v>
      </c>
      <c r="M283" t="s">
        <v>77</v>
      </c>
      <c r="N283" t="s">
        <v>78</v>
      </c>
      <c r="O283" t="s">
        <v>74</v>
      </c>
      <c r="P283" t="s">
        <v>74</v>
      </c>
      <c r="Q283" t="s">
        <v>74</v>
      </c>
      <c r="R283" t="s">
        <v>74</v>
      </c>
      <c r="S283" t="s">
        <v>74</v>
      </c>
      <c r="T283" t="s">
        <v>4040</v>
      </c>
      <c r="U283" t="s">
        <v>4041</v>
      </c>
      <c r="V283" t="s">
        <v>4042</v>
      </c>
      <c r="W283" t="s">
        <v>4043</v>
      </c>
      <c r="X283" t="s">
        <v>4044</v>
      </c>
      <c r="Y283" t="s">
        <v>4045</v>
      </c>
      <c r="Z283" t="s">
        <v>4046</v>
      </c>
      <c r="AA283" t="s">
        <v>4047</v>
      </c>
      <c r="AB283" t="s">
        <v>4048</v>
      </c>
      <c r="AC283" t="s">
        <v>74</v>
      </c>
      <c r="AD283" t="s">
        <v>74</v>
      </c>
      <c r="AE283" t="s">
        <v>74</v>
      </c>
      <c r="AF283" t="s">
        <v>74</v>
      </c>
      <c r="AG283">
        <v>56</v>
      </c>
      <c r="AH283">
        <v>49</v>
      </c>
      <c r="AI283">
        <v>55</v>
      </c>
      <c r="AJ283">
        <v>0</v>
      </c>
      <c r="AK283">
        <v>12</v>
      </c>
      <c r="AL283" t="s">
        <v>1263</v>
      </c>
      <c r="AM283" t="s">
        <v>211</v>
      </c>
      <c r="AN283" t="s">
        <v>1264</v>
      </c>
      <c r="AO283" t="s">
        <v>4049</v>
      </c>
      <c r="AP283" t="s">
        <v>4050</v>
      </c>
      <c r="AQ283" t="s">
        <v>74</v>
      </c>
      <c r="AR283" t="s">
        <v>4051</v>
      </c>
      <c r="AS283" t="s">
        <v>4052</v>
      </c>
      <c r="AT283" t="s">
        <v>4032</v>
      </c>
      <c r="AU283">
        <v>1999</v>
      </c>
      <c r="AV283">
        <v>436</v>
      </c>
      <c r="AW283" t="s">
        <v>2622</v>
      </c>
      <c r="AX283" t="s">
        <v>74</v>
      </c>
      <c r="AY283" t="s">
        <v>74</v>
      </c>
      <c r="AZ283" t="s">
        <v>74</v>
      </c>
      <c r="BA283" t="s">
        <v>74</v>
      </c>
      <c r="BB283">
        <v>15</v>
      </c>
      <c r="BC283">
        <v>28</v>
      </c>
      <c r="BD283" t="s">
        <v>74</v>
      </c>
      <c r="BE283" t="s">
        <v>4053</v>
      </c>
      <c r="BF283" t="str">
        <f>HYPERLINK("http://dx.doi.org/10.1016/S0039-6028(99)00457-4","http://dx.doi.org/10.1016/S0039-6028(99)00457-4")</f>
        <v>http://dx.doi.org/10.1016/S0039-6028(99)00457-4</v>
      </c>
      <c r="BG283" t="s">
        <v>74</v>
      </c>
      <c r="BH283" t="s">
        <v>74</v>
      </c>
      <c r="BI283">
        <v>14</v>
      </c>
      <c r="BJ283" t="s">
        <v>4054</v>
      </c>
      <c r="BK283" t="s">
        <v>96</v>
      </c>
      <c r="BL283" t="s">
        <v>373</v>
      </c>
      <c r="BM283" t="s">
        <v>4055</v>
      </c>
      <c r="BN283" t="s">
        <v>74</v>
      </c>
      <c r="BO283" t="s">
        <v>250</v>
      </c>
      <c r="BP283" t="s">
        <v>74</v>
      </c>
      <c r="BQ283" t="s">
        <v>74</v>
      </c>
      <c r="BR283" t="s">
        <v>99</v>
      </c>
      <c r="BS283" t="s">
        <v>4056</v>
      </c>
      <c r="BT283" t="str">
        <f>HYPERLINK("https%3A%2F%2Fwww.webofscience.com%2Fwos%2Fwoscc%2Ffull-record%2FWOS:000082456200020","View Full Record in Web of Science")</f>
        <v>View Full Record in Web of Science</v>
      </c>
    </row>
    <row r="284" spans="1:72" x14ac:dyDescent="0.15">
      <c r="A284" t="s">
        <v>72</v>
      </c>
      <c r="B284" t="s">
        <v>4057</v>
      </c>
      <c r="C284" t="s">
        <v>74</v>
      </c>
      <c r="D284" t="s">
        <v>74</v>
      </c>
      <c r="E284" t="s">
        <v>74</v>
      </c>
      <c r="F284" t="s">
        <v>4057</v>
      </c>
      <c r="G284" t="s">
        <v>74</v>
      </c>
      <c r="H284" t="s">
        <v>74</v>
      </c>
      <c r="I284" t="s">
        <v>4058</v>
      </c>
      <c r="J284" t="s">
        <v>180</v>
      </c>
      <c r="K284" t="s">
        <v>74</v>
      </c>
      <c r="L284" t="s">
        <v>74</v>
      </c>
      <c r="M284" t="s">
        <v>77</v>
      </c>
      <c r="N284" t="s">
        <v>78</v>
      </c>
      <c r="O284" t="s">
        <v>74</v>
      </c>
      <c r="P284" t="s">
        <v>74</v>
      </c>
      <c r="Q284" t="s">
        <v>74</v>
      </c>
      <c r="R284" t="s">
        <v>74</v>
      </c>
      <c r="S284" t="s">
        <v>74</v>
      </c>
      <c r="T284" t="s">
        <v>4059</v>
      </c>
      <c r="U284" t="s">
        <v>4060</v>
      </c>
      <c r="V284" t="s">
        <v>4061</v>
      </c>
      <c r="W284" t="s">
        <v>4062</v>
      </c>
      <c r="X284" t="s">
        <v>4063</v>
      </c>
      <c r="Y284" t="s">
        <v>4064</v>
      </c>
      <c r="Z284" t="s">
        <v>74</v>
      </c>
      <c r="AA284" t="s">
        <v>74</v>
      </c>
      <c r="AB284" t="s">
        <v>74</v>
      </c>
      <c r="AC284" t="s">
        <v>74</v>
      </c>
      <c r="AD284" t="s">
        <v>74</v>
      </c>
      <c r="AE284" t="s">
        <v>74</v>
      </c>
      <c r="AF284" t="s">
        <v>74</v>
      </c>
      <c r="AG284">
        <v>42</v>
      </c>
      <c r="AH284">
        <v>49</v>
      </c>
      <c r="AI284">
        <v>52</v>
      </c>
      <c r="AJ284">
        <v>1</v>
      </c>
      <c r="AK284">
        <v>18</v>
      </c>
      <c r="AL284" t="s">
        <v>189</v>
      </c>
      <c r="AM284" t="s">
        <v>190</v>
      </c>
      <c r="AN284" t="s">
        <v>191</v>
      </c>
      <c r="AO284" t="s">
        <v>192</v>
      </c>
      <c r="AP284" t="s">
        <v>74</v>
      </c>
      <c r="AQ284" t="s">
        <v>74</v>
      </c>
      <c r="AR284" t="s">
        <v>193</v>
      </c>
      <c r="AS284" t="s">
        <v>194</v>
      </c>
      <c r="AT284" t="s">
        <v>4065</v>
      </c>
      <c r="AU284">
        <v>1999</v>
      </c>
      <c r="AV284">
        <v>18</v>
      </c>
      <c r="AW284">
        <v>2</v>
      </c>
      <c r="AX284" t="s">
        <v>74</v>
      </c>
      <c r="AY284" t="s">
        <v>74</v>
      </c>
      <c r="AZ284" t="s">
        <v>74</v>
      </c>
      <c r="BA284" t="s">
        <v>74</v>
      </c>
      <c r="BB284">
        <v>197</v>
      </c>
      <c r="BC284">
        <v>205</v>
      </c>
      <c r="BD284" t="s">
        <v>74</v>
      </c>
      <c r="BE284" t="s">
        <v>4066</v>
      </c>
      <c r="BF284" t="str">
        <f>HYPERLINK("http://dx.doi.org/10.3354/ame018197","http://dx.doi.org/10.3354/ame018197")</f>
        <v>http://dx.doi.org/10.3354/ame018197</v>
      </c>
      <c r="BG284" t="s">
        <v>74</v>
      </c>
      <c r="BH284" t="s">
        <v>74</v>
      </c>
      <c r="BI284">
        <v>9</v>
      </c>
      <c r="BJ284" t="s">
        <v>197</v>
      </c>
      <c r="BK284" t="s">
        <v>96</v>
      </c>
      <c r="BL284" t="s">
        <v>198</v>
      </c>
      <c r="BM284" t="s">
        <v>4067</v>
      </c>
      <c r="BN284" t="s">
        <v>74</v>
      </c>
      <c r="BO284" t="s">
        <v>250</v>
      </c>
      <c r="BP284" t="s">
        <v>74</v>
      </c>
      <c r="BQ284" t="s">
        <v>74</v>
      </c>
      <c r="BR284" t="s">
        <v>99</v>
      </c>
      <c r="BS284" t="s">
        <v>4068</v>
      </c>
      <c r="BT284" t="str">
        <f>HYPERLINK("https%3A%2F%2Fwww.webofscience.com%2Fwos%2Fwoscc%2Ffull-record%2FWOS:000082124100009","View Full Record in Web of Science")</f>
        <v>View Full Record in Web of Science</v>
      </c>
    </row>
    <row r="285" spans="1:72" x14ac:dyDescent="0.15">
      <c r="A285" t="s">
        <v>72</v>
      </c>
      <c r="B285" t="s">
        <v>4069</v>
      </c>
      <c r="C285" t="s">
        <v>74</v>
      </c>
      <c r="D285" t="s">
        <v>74</v>
      </c>
      <c r="E285" t="s">
        <v>74</v>
      </c>
      <c r="F285" t="s">
        <v>4069</v>
      </c>
      <c r="G285" t="s">
        <v>74</v>
      </c>
      <c r="H285" t="s">
        <v>74</v>
      </c>
      <c r="I285" t="s">
        <v>4070</v>
      </c>
      <c r="J285" t="s">
        <v>2692</v>
      </c>
      <c r="K285" t="s">
        <v>74</v>
      </c>
      <c r="L285" t="s">
        <v>74</v>
      </c>
      <c r="M285" t="s">
        <v>77</v>
      </c>
      <c r="N285" t="s">
        <v>704</v>
      </c>
      <c r="O285" t="s">
        <v>74</v>
      </c>
      <c r="P285" t="s">
        <v>74</v>
      </c>
      <c r="Q285" t="s">
        <v>74</v>
      </c>
      <c r="R285" t="s">
        <v>74</v>
      </c>
      <c r="S285" t="s">
        <v>74</v>
      </c>
      <c r="T285" t="s">
        <v>74</v>
      </c>
      <c r="U285" t="s">
        <v>74</v>
      </c>
      <c r="V285" t="s">
        <v>74</v>
      </c>
      <c r="W285" t="s">
        <v>74</v>
      </c>
      <c r="X285" t="s">
        <v>74</v>
      </c>
      <c r="Y285" t="s">
        <v>74</v>
      </c>
      <c r="Z285" t="s">
        <v>74</v>
      </c>
      <c r="AA285" t="s">
        <v>74</v>
      </c>
      <c r="AB285" t="s">
        <v>74</v>
      </c>
      <c r="AC285" t="s">
        <v>74</v>
      </c>
      <c r="AD285" t="s">
        <v>74</v>
      </c>
      <c r="AE285" t="s">
        <v>74</v>
      </c>
      <c r="AF285" t="s">
        <v>74</v>
      </c>
      <c r="AG285">
        <v>0</v>
      </c>
      <c r="AH285">
        <v>0</v>
      </c>
      <c r="AI285">
        <v>0</v>
      </c>
      <c r="AJ285">
        <v>0</v>
      </c>
      <c r="AK285">
        <v>0</v>
      </c>
      <c r="AL285" t="s">
        <v>2693</v>
      </c>
      <c r="AM285" t="s">
        <v>531</v>
      </c>
      <c r="AN285" t="s">
        <v>2694</v>
      </c>
      <c r="AO285" t="s">
        <v>2695</v>
      </c>
      <c r="AP285" t="s">
        <v>74</v>
      </c>
      <c r="AQ285" t="s">
        <v>74</v>
      </c>
      <c r="AR285" t="s">
        <v>2692</v>
      </c>
      <c r="AS285" t="s">
        <v>2696</v>
      </c>
      <c r="AT285" t="s">
        <v>4071</v>
      </c>
      <c r="AU285">
        <v>1999</v>
      </c>
      <c r="AV285">
        <v>400</v>
      </c>
      <c r="AW285">
        <v>6744</v>
      </c>
      <c r="AX285" t="s">
        <v>74</v>
      </c>
      <c r="AY285" t="s">
        <v>74</v>
      </c>
      <c r="AZ285" t="s">
        <v>74</v>
      </c>
      <c r="BA285" t="s">
        <v>74</v>
      </c>
      <c r="BB285">
        <v>493</v>
      </c>
      <c r="BC285">
        <v>493</v>
      </c>
      <c r="BD285" t="s">
        <v>74</v>
      </c>
      <c r="BE285" t="s">
        <v>4072</v>
      </c>
      <c r="BF285" t="str">
        <f>HYPERLINK("http://dx.doi.org/10.1038/22847","http://dx.doi.org/10.1038/22847")</f>
        <v>http://dx.doi.org/10.1038/22847</v>
      </c>
      <c r="BG285" t="s">
        <v>74</v>
      </c>
      <c r="BH285" t="s">
        <v>74</v>
      </c>
      <c r="BI285">
        <v>1</v>
      </c>
      <c r="BJ285" t="s">
        <v>303</v>
      </c>
      <c r="BK285" t="s">
        <v>96</v>
      </c>
      <c r="BL285" t="s">
        <v>304</v>
      </c>
      <c r="BM285" t="s">
        <v>4073</v>
      </c>
      <c r="BN285" t="s">
        <v>74</v>
      </c>
      <c r="BO285" t="s">
        <v>250</v>
      </c>
      <c r="BP285" t="s">
        <v>74</v>
      </c>
      <c r="BQ285" t="s">
        <v>74</v>
      </c>
      <c r="BR285" t="s">
        <v>99</v>
      </c>
      <c r="BS285" t="s">
        <v>4074</v>
      </c>
      <c r="BT285" t="str">
        <f>HYPERLINK("https%3A%2F%2Fwww.webofscience.com%2Fwos%2Fwoscc%2Ffull-record%2FWOS:000081854800013","View Full Record in Web of Science")</f>
        <v>View Full Record in Web of Science</v>
      </c>
    </row>
    <row r="286" spans="1:72" x14ac:dyDescent="0.15">
      <c r="A286" t="s">
        <v>72</v>
      </c>
      <c r="B286" t="s">
        <v>4075</v>
      </c>
      <c r="C286" t="s">
        <v>74</v>
      </c>
      <c r="D286" t="s">
        <v>74</v>
      </c>
      <c r="E286" t="s">
        <v>74</v>
      </c>
      <c r="F286" t="s">
        <v>4075</v>
      </c>
      <c r="G286" t="s">
        <v>74</v>
      </c>
      <c r="H286" t="s">
        <v>74</v>
      </c>
      <c r="I286" t="s">
        <v>4076</v>
      </c>
      <c r="J286" t="s">
        <v>2692</v>
      </c>
      <c r="K286" t="s">
        <v>74</v>
      </c>
      <c r="L286" t="s">
        <v>74</v>
      </c>
      <c r="M286" t="s">
        <v>77</v>
      </c>
      <c r="N286" t="s">
        <v>78</v>
      </c>
      <c r="O286" t="s">
        <v>74</v>
      </c>
      <c r="P286" t="s">
        <v>74</v>
      </c>
      <c r="Q286" t="s">
        <v>74</v>
      </c>
      <c r="R286" t="s">
        <v>74</v>
      </c>
      <c r="S286" t="s">
        <v>74</v>
      </c>
      <c r="T286" t="s">
        <v>74</v>
      </c>
      <c r="U286" t="s">
        <v>4077</v>
      </c>
      <c r="V286" t="s">
        <v>4078</v>
      </c>
      <c r="W286" t="s">
        <v>4079</v>
      </c>
      <c r="X286" t="s">
        <v>4080</v>
      </c>
      <c r="Y286" t="s">
        <v>4081</v>
      </c>
      <c r="Z286" t="s">
        <v>74</v>
      </c>
      <c r="AA286" t="s">
        <v>4082</v>
      </c>
      <c r="AB286" t="s">
        <v>4083</v>
      </c>
      <c r="AC286" t="s">
        <v>74</v>
      </c>
      <c r="AD286" t="s">
        <v>74</v>
      </c>
      <c r="AE286" t="s">
        <v>74</v>
      </c>
      <c r="AF286" t="s">
        <v>74</v>
      </c>
      <c r="AG286">
        <v>24</v>
      </c>
      <c r="AH286">
        <v>87</v>
      </c>
      <c r="AI286">
        <v>89</v>
      </c>
      <c r="AJ286">
        <v>0</v>
      </c>
      <c r="AK286">
        <v>12</v>
      </c>
      <c r="AL286" t="s">
        <v>2693</v>
      </c>
      <c r="AM286" t="s">
        <v>531</v>
      </c>
      <c r="AN286" t="s">
        <v>2694</v>
      </c>
      <c r="AO286" t="s">
        <v>2695</v>
      </c>
      <c r="AP286" t="s">
        <v>74</v>
      </c>
      <c r="AQ286" t="s">
        <v>74</v>
      </c>
      <c r="AR286" t="s">
        <v>2692</v>
      </c>
      <c r="AS286" t="s">
        <v>2696</v>
      </c>
      <c r="AT286" t="s">
        <v>4071</v>
      </c>
      <c r="AU286">
        <v>1999</v>
      </c>
      <c r="AV286">
        <v>400</v>
      </c>
      <c r="AW286">
        <v>6744</v>
      </c>
      <c r="AX286" t="s">
        <v>74</v>
      </c>
      <c r="AY286" t="s">
        <v>74</v>
      </c>
      <c r="AZ286" t="s">
        <v>74</v>
      </c>
      <c r="BA286" t="s">
        <v>74</v>
      </c>
      <c r="BB286">
        <v>551</v>
      </c>
      <c r="BC286">
        <v>554</v>
      </c>
      <c r="BD286" t="s">
        <v>74</v>
      </c>
      <c r="BE286" t="s">
        <v>4084</v>
      </c>
      <c r="BF286" t="str">
        <f>HYPERLINK("http://dx.doi.org/10.1038/22999","http://dx.doi.org/10.1038/22999")</f>
        <v>http://dx.doi.org/10.1038/22999</v>
      </c>
      <c r="BG286" t="s">
        <v>74</v>
      </c>
      <c r="BH286" t="s">
        <v>74</v>
      </c>
      <c r="BI286">
        <v>4</v>
      </c>
      <c r="BJ286" t="s">
        <v>303</v>
      </c>
      <c r="BK286" t="s">
        <v>96</v>
      </c>
      <c r="BL286" t="s">
        <v>304</v>
      </c>
      <c r="BM286" t="s">
        <v>4073</v>
      </c>
      <c r="BN286" t="s">
        <v>74</v>
      </c>
      <c r="BO286" t="s">
        <v>74</v>
      </c>
      <c r="BP286" t="s">
        <v>74</v>
      </c>
      <c r="BQ286" t="s">
        <v>74</v>
      </c>
      <c r="BR286" t="s">
        <v>99</v>
      </c>
      <c r="BS286" t="s">
        <v>4085</v>
      </c>
      <c r="BT286" t="str">
        <f>HYPERLINK("https%3A%2F%2Fwww.webofscience.com%2Fwos%2Fwoscc%2Ffull-record%2FWOS:000081854800051","View Full Record in Web of Science")</f>
        <v>View Full Record in Web of Science</v>
      </c>
    </row>
    <row r="287" spans="1:72" x14ac:dyDescent="0.15">
      <c r="A287" t="s">
        <v>72</v>
      </c>
      <c r="B287" t="s">
        <v>4086</v>
      </c>
      <c r="C287" t="s">
        <v>74</v>
      </c>
      <c r="D287" t="s">
        <v>74</v>
      </c>
      <c r="E287" t="s">
        <v>74</v>
      </c>
      <c r="F287" t="s">
        <v>4086</v>
      </c>
      <c r="G287" t="s">
        <v>74</v>
      </c>
      <c r="H287" t="s">
        <v>74</v>
      </c>
      <c r="I287" t="s">
        <v>4087</v>
      </c>
      <c r="J287" t="s">
        <v>4088</v>
      </c>
      <c r="K287" t="s">
        <v>74</v>
      </c>
      <c r="L287" t="s">
        <v>74</v>
      </c>
      <c r="M287" t="s">
        <v>77</v>
      </c>
      <c r="N287" t="s">
        <v>254</v>
      </c>
      <c r="O287" t="s">
        <v>74</v>
      </c>
      <c r="P287" t="s">
        <v>74</v>
      </c>
      <c r="Q287" t="s">
        <v>74</v>
      </c>
      <c r="R287" t="s">
        <v>74</v>
      </c>
      <c r="S287" t="s">
        <v>74</v>
      </c>
      <c r="T287" t="s">
        <v>4089</v>
      </c>
      <c r="U287" t="s">
        <v>4090</v>
      </c>
      <c r="V287" t="s">
        <v>4091</v>
      </c>
      <c r="W287" t="s">
        <v>4092</v>
      </c>
      <c r="X287" t="s">
        <v>4093</v>
      </c>
      <c r="Y287" t="s">
        <v>4094</v>
      </c>
      <c r="Z287" t="s">
        <v>74</v>
      </c>
      <c r="AA287" t="s">
        <v>4095</v>
      </c>
      <c r="AB287" t="s">
        <v>4096</v>
      </c>
      <c r="AC287" t="s">
        <v>74</v>
      </c>
      <c r="AD287" t="s">
        <v>74</v>
      </c>
      <c r="AE287" t="s">
        <v>74</v>
      </c>
      <c r="AF287" t="s">
        <v>74</v>
      </c>
      <c r="AG287">
        <v>114</v>
      </c>
      <c r="AH287">
        <v>72</v>
      </c>
      <c r="AI287">
        <v>84</v>
      </c>
      <c r="AJ287">
        <v>1</v>
      </c>
      <c r="AK287">
        <v>44</v>
      </c>
      <c r="AL287" t="s">
        <v>1884</v>
      </c>
      <c r="AM287" t="s">
        <v>554</v>
      </c>
      <c r="AN287" t="s">
        <v>1885</v>
      </c>
      <c r="AO287" t="s">
        <v>4097</v>
      </c>
      <c r="AP287" t="s">
        <v>74</v>
      </c>
      <c r="AQ287" t="s">
        <v>74</v>
      </c>
      <c r="AR287" t="s">
        <v>4098</v>
      </c>
      <c r="AS287" t="s">
        <v>4099</v>
      </c>
      <c r="AT287" t="s">
        <v>4100</v>
      </c>
      <c r="AU287">
        <v>1999</v>
      </c>
      <c r="AV287">
        <v>109</v>
      </c>
      <c r="AW287">
        <v>4</v>
      </c>
      <c r="AX287" t="s">
        <v>74</v>
      </c>
      <c r="AY287" t="s">
        <v>74</v>
      </c>
      <c r="AZ287" t="s">
        <v>74</v>
      </c>
      <c r="BA287" t="s">
        <v>74</v>
      </c>
      <c r="BB287">
        <v>541</v>
      </c>
      <c r="BC287">
        <v>559</v>
      </c>
      <c r="BD287" t="s">
        <v>74</v>
      </c>
      <c r="BE287" t="s">
        <v>4101</v>
      </c>
      <c r="BF287" t="str">
        <f>HYPERLINK("http://dx.doi.org/10.1002/(SICI)1096-8644(199908)109:4&lt;541::AID-AJPA9&gt;3.0.CO;2-N","http://dx.doi.org/10.1002/(SICI)1096-8644(199908)109:4&lt;541::AID-AJPA9&gt;3.0.CO;2-N")</f>
        <v>http://dx.doi.org/10.1002/(SICI)1096-8644(199908)109:4&lt;541::AID-AJPA9&gt;3.0.CO;2-N</v>
      </c>
      <c r="BG287" t="s">
        <v>74</v>
      </c>
      <c r="BH287" t="s">
        <v>74</v>
      </c>
      <c r="BI287">
        <v>19</v>
      </c>
      <c r="BJ287" t="s">
        <v>4102</v>
      </c>
      <c r="BK287" t="s">
        <v>4103</v>
      </c>
      <c r="BL287" t="s">
        <v>4102</v>
      </c>
      <c r="BM287" t="s">
        <v>4104</v>
      </c>
      <c r="BN287">
        <v>10423268</v>
      </c>
      <c r="BO287" t="s">
        <v>74</v>
      </c>
      <c r="BP287" t="s">
        <v>74</v>
      </c>
      <c r="BQ287" t="s">
        <v>74</v>
      </c>
      <c r="BR287" t="s">
        <v>99</v>
      </c>
      <c r="BS287" t="s">
        <v>4105</v>
      </c>
      <c r="BT287" t="str">
        <f>HYPERLINK("https%3A%2F%2Fwww.webofscience.com%2Fwos%2Fwoscc%2Ffull-record%2FWOS:000081721800009","View Full Record in Web of Science")</f>
        <v>View Full Record in Web of Science</v>
      </c>
    </row>
    <row r="288" spans="1:72" x14ac:dyDescent="0.15">
      <c r="A288" t="s">
        <v>72</v>
      </c>
      <c r="B288" t="s">
        <v>4106</v>
      </c>
      <c r="C288" t="s">
        <v>74</v>
      </c>
      <c r="D288" t="s">
        <v>74</v>
      </c>
      <c r="E288" t="s">
        <v>74</v>
      </c>
      <c r="F288" t="s">
        <v>4106</v>
      </c>
      <c r="G288" t="s">
        <v>74</v>
      </c>
      <c r="H288" t="s">
        <v>74</v>
      </c>
      <c r="I288" t="s">
        <v>4107</v>
      </c>
      <c r="J288" t="s">
        <v>1855</v>
      </c>
      <c r="K288" t="s">
        <v>74</v>
      </c>
      <c r="L288" t="s">
        <v>74</v>
      </c>
      <c r="M288" t="s">
        <v>77</v>
      </c>
      <c r="N288" t="s">
        <v>78</v>
      </c>
      <c r="O288" t="s">
        <v>74</v>
      </c>
      <c r="P288" t="s">
        <v>74</v>
      </c>
      <c r="Q288" t="s">
        <v>74</v>
      </c>
      <c r="R288" t="s">
        <v>74</v>
      </c>
      <c r="S288" t="s">
        <v>74</v>
      </c>
      <c r="T288" t="s">
        <v>4108</v>
      </c>
      <c r="U288" t="s">
        <v>4109</v>
      </c>
      <c r="V288" t="s">
        <v>4110</v>
      </c>
      <c r="W288" t="s">
        <v>4111</v>
      </c>
      <c r="X288" t="s">
        <v>4112</v>
      </c>
      <c r="Y288" t="s">
        <v>4113</v>
      </c>
      <c r="Z288" t="s">
        <v>4114</v>
      </c>
      <c r="AA288" t="s">
        <v>1976</v>
      </c>
      <c r="AB288" t="s">
        <v>1977</v>
      </c>
      <c r="AC288" t="s">
        <v>74</v>
      </c>
      <c r="AD288" t="s">
        <v>74</v>
      </c>
      <c r="AE288" t="s">
        <v>74</v>
      </c>
      <c r="AF288" t="s">
        <v>74</v>
      </c>
      <c r="AG288">
        <v>45</v>
      </c>
      <c r="AH288">
        <v>82</v>
      </c>
      <c r="AI288">
        <v>93</v>
      </c>
      <c r="AJ288">
        <v>0</v>
      </c>
      <c r="AK288">
        <v>15</v>
      </c>
      <c r="AL288" t="s">
        <v>1861</v>
      </c>
      <c r="AM288" t="s">
        <v>1290</v>
      </c>
      <c r="AN288" t="s">
        <v>1862</v>
      </c>
      <c r="AO288" t="s">
        <v>1863</v>
      </c>
      <c r="AP288" t="s">
        <v>4115</v>
      </c>
      <c r="AQ288" t="s">
        <v>74</v>
      </c>
      <c r="AR288" t="s">
        <v>1864</v>
      </c>
      <c r="AS288" t="s">
        <v>1865</v>
      </c>
      <c r="AT288" t="s">
        <v>4100</v>
      </c>
      <c r="AU288">
        <v>1999</v>
      </c>
      <c r="AV288">
        <v>277</v>
      </c>
      <c r="AW288">
        <v>2</v>
      </c>
      <c r="AX288" t="s">
        <v>74</v>
      </c>
      <c r="AY288" t="s">
        <v>74</v>
      </c>
      <c r="AZ288" t="s">
        <v>74</v>
      </c>
      <c r="BA288" t="s">
        <v>74</v>
      </c>
      <c r="BB288" t="s">
        <v>4116</v>
      </c>
      <c r="BC288" t="s">
        <v>4117</v>
      </c>
      <c r="BD288" t="s">
        <v>74</v>
      </c>
      <c r="BE288" t="s">
        <v>4118</v>
      </c>
      <c r="BF288" t="str">
        <f>HYPERLINK("http://dx.doi.org/10.1152/ajpregu.1999.277.2.R508","http://dx.doi.org/10.1152/ajpregu.1999.277.2.R508")</f>
        <v>http://dx.doi.org/10.1152/ajpregu.1999.277.2.R508</v>
      </c>
      <c r="BG288" t="s">
        <v>74</v>
      </c>
      <c r="BH288" t="s">
        <v>74</v>
      </c>
      <c r="BI288">
        <v>9</v>
      </c>
      <c r="BJ288" t="s">
        <v>1869</v>
      </c>
      <c r="BK288" t="s">
        <v>96</v>
      </c>
      <c r="BL288" t="s">
        <v>1869</v>
      </c>
      <c r="BM288" t="s">
        <v>4119</v>
      </c>
      <c r="BN288" t="s">
        <v>74</v>
      </c>
      <c r="BO288" t="s">
        <v>74</v>
      </c>
      <c r="BP288" t="s">
        <v>74</v>
      </c>
      <c r="BQ288" t="s">
        <v>74</v>
      </c>
      <c r="BR288" t="s">
        <v>99</v>
      </c>
      <c r="BS288" t="s">
        <v>4120</v>
      </c>
      <c r="BT288" t="str">
        <f>HYPERLINK("https%3A%2F%2Fwww.webofscience.com%2Fwos%2Fwoscc%2Ffull-record%2FWOS:000081923500021","View Full Record in Web of Science")</f>
        <v>View Full Record in Web of Science</v>
      </c>
    </row>
    <row r="289" spans="1:72" x14ac:dyDescent="0.15">
      <c r="A289" t="s">
        <v>72</v>
      </c>
      <c r="B289" t="s">
        <v>4121</v>
      </c>
      <c r="C289" t="s">
        <v>74</v>
      </c>
      <c r="D289" t="s">
        <v>74</v>
      </c>
      <c r="E289" t="s">
        <v>74</v>
      </c>
      <c r="F289" t="s">
        <v>4121</v>
      </c>
      <c r="G289" t="s">
        <v>74</v>
      </c>
      <c r="H289" t="s">
        <v>74</v>
      </c>
      <c r="I289" t="s">
        <v>4122</v>
      </c>
      <c r="J289" t="s">
        <v>4123</v>
      </c>
      <c r="K289" t="s">
        <v>74</v>
      </c>
      <c r="L289" t="s">
        <v>74</v>
      </c>
      <c r="M289" t="s">
        <v>77</v>
      </c>
      <c r="N289" t="s">
        <v>78</v>
      </c>
      <c r="O289" t="s">
        <v>74</v>
      </c>
      <c r="P289" t="s">
        <v>74</v>
      </c>
      <c r="Q289" t="s">
        <v>74</v>
      </c>
      <c r="R289" t="s">
        <v>74</v>
      </c>
      <c r="S289" t="s">
        <v>74</v>
      </c>
      <c r="T289" t="s">
        <v>4124</v>
      </c>
      <c r="U289" t="s">
        <v>4125</v>
      </c>
      <c r="V289" t="s">
        <v>4126</v>
      </c>
      <c r="W289" t="s">
        <v>4127</v>
      </c>
      <c r="X289" t="s">
        <v>4128</v>
      </c>
      <c r="Y289" t="s">
        <v>4129</v>
      </c>
      <c r="Z289" t="s">
        <v>74</v>
      </c>
      <c r="AA289" t="s">
        <v>74</v>
      </c>
      <c r="AB289" t="s">
        <v>1902</v>
      </c>
      <c r="AC289" t="s">
        <v>74</v>
      </c>
      <c r="AD289" t="s">
        <v>74</v>
      </c>
      <c r="AE289" t="s">
        <v>74</v>
      </c>
      <c r="AF289" t="s">
        <v>74</v>
      </c>
      <c r="AG289">
        <v>26</v>
      </c>
      <c r="AH289">
        <v>2</v>
      </c>
      <c r="AI289">
        <v>3</v>
      </c>
      <c r="AJ289">
        <v>0</v>
      </c>
      <c r="AK289">
        <v>0</v>
      </c>
      <c r="AL289" t="s">
        <v>4130</v>
      </c>
      <c r="AM289" t="s">
        <v>4131</v>
      </c>
      <c r="AN289" t="s">
        <v>4132</v>
      </c>
      <c r="AO289" t="s">
        <v>4133</v>
      </c>
      <c r="AP289" t="s">
        <v>74</v>
      </c>
      <c r="AQ289" t="s">
        <v>74</v>
      </c>
      <c r="AR289" t="s">
        <v>4134</v>
      </c>
      <c r="AS289" t="s">
        <v>4135</v>
      </c>
      <c r="AT289" t="s">
        <v>4100</v>
      </c>
      <c r="AU289">
        <v>1999</v>
      </c>
      <c r="AV289">
        <v>42</v>
      </c>
      <c r="AW289">
        <v>4</v>
      </c>
      <c r="AX289" t="s">
        <v>74</v>
      </c>
      <c r="AY289" t="s">
        <v>74</v>
      </c>
      <c r="AZ289" t="s">
        <v>74</v>
      </c>
      <c r="BA289" t="s">
        <v>74</v>
      </c>
      <c r="BB289">
        <v>675</v>
      </c>
      <c r="BC289">
        <v>682</v>
      </c>
      <c r="BD289" t="s">
        <v>74</v>
      </c>
      <c r="BE289" t="s">
        <v>74</v>
      </c>
      <c r="BF289" t="s">
        <v>74</v>
      </c>
      <c r="BG289" t="s">
        <v>74</v>
      </c>
      <c r="BH289" t="s">
        <v>74</v>
      </c>
      <c r="BI289">
        <v>8</v>
      </c>
      <c r="BJ289" t="s">
        <v>216</v>
      </c>
      <c r="BK289" t="s">
        <v>96</v>
      </c>
      <c r="BL289" t="s">
        <v>216</v>
      </c>
      <c r="BM289" t="s">
        <v>4136</v>
      </c>
      <c r="BN289" t="s">
        <v>74</v>
      </c>
      <c r="BO289" t="s">
        <v>74</v>
      </c>
      <c r="BP289" t="s">
        <v>74</v>
      </c>
      <c r="BQ289" t="s">
        <v>74</v>
      </c>
      <c r="BR289" t="s">
        <v>99</v>
      </c>
      <c r="BS289" t="s">
        <v>4137</v>
      </c>
      <c r="BT289" t="str">
        <f>HYPERLINK("https%3A%2F%2Fwww.webofscience.com%2Fwos%2Fwoscc%2Ffull-record%2FWOS:000083087600005","View Full Record in Web of Science")</f>
        <v>View Full Record in Web of Science</v>
      </c>
    </row>
    <row r="290" spans="1:72" x14ac:dyDescent="0.15">
      <c r="A290" t="s">
        <v>72</v>
      </c>
      <c r="B290" t="s">
        <v>4138</v>
      </c>
      <c r="C290" t="s">
        <v>74</v>
      </c>
      <c r="D290" t="s">
        <v>74</v>
      </c>
      <c r="E290" t="s">
        <v>74</v>
      </c>
      <c r="F290" t="s">
        <v>4138</v>
      </c>
      <c r="G290" t="s">
        <v>74</v>
      </c>
      <c r="H290" t="s">
        <v>74</v>
      </c>
      <c r="I290" t="s">
        <v>4139</v>
      </c>
      <c r="J290" t="s">
        <v>3096</v>
      </c>
      <c r="K290" t="s">
        <v>74</v>
      </c>
      <c r="L290" t="s">
        <v>74</v>
      </c>
      <c r="M290" t="s">
        <v>77</v>
      </c>
      <c r="N290" t="s">
        <v>78</v>
      </c>
      <c r="O290" t="s">
        <v>74</v>
      </c>
      <c r="P290" t="s">
        <v>74</v>
      </c>
      <c r="Q290" t="s">
        <v>74</v>
      </c>
      <c r="R290" t="s">
        <v>74</v>
      </c>
      <c r="S290" t="s">
        <v>74</v>
      </c>
      <c r="T290" t="s">
        <v>74</v>
      </c>
      <c r="U290" t="s">
        <v>4140</v>
      </c>
      <c r="V290" t="s">
        <v>4141</v>
      </c>
      <c r="W290" t="s">
        <v>4142</v>
      </c>
      <c r="X290" t="s">
        <v>4143</v>
      </c>
      <c r="Y290" t="s">
        <v>4144</v>
      </c>
      <c r="Z290" t="s">
        <v>74</v>
      </c>
      <c r="AA290" t="s">
        <v>74</v>
      </c>
      <c r="AB290" t="s">
        <v>4145</v>
      </c>
      <c r="AC290" t="s">
        <v>74</v>
      </c>
      <c r="AD290" t="s">
        <v>74</v>
      </c>
      <c r="AE290" t="s">
        <v>74</v>
      </c>
      <c r="AF290" t="s">
        <v>74</v>
      </c>
      <c r="AG290">
        <v>33</v>
      </c>
      <c r="AH290">
        <v>25</v>
      </c>
      <c r="AI290">
        <v>28</v>
      </c>
      <c r="AJ290">
        <v>0</v>
      </c>
      <c r="AK290">
        <v>6</v>
      </c>
      <c r="AL290" t="s">
        <v>3104</v>
      </c>
      <c r="AM290" t="s">
        <v>231</v>
      </c>
      <c r="AN290" t="s">
        <v>3105</v>
      </c>
      <c r="AO290" t="s">
        <v>3106</v>
      </c>
      <c r="AP290" t="s">
        <v>74</v>
      </c>
      <c r="AQ290" t="s">
        <v>74</v>
      </c>
      <c r="AR290" t="s">
        <v>3107</v>
      </c>
      <c r="AS290" t="s">
        <v>3108</v>
      </c>
      <c r="AT290" t="s">
        <v>4100</v>
      </c>
      <c r="AU290">
        <v>1999</v>
      </c>
      <c r="AV290">
        <v>65</v>
      </c>
      <c r="AW290">
        <v>8</v>
      </c>
      <c r="AX290" t="s">
        <v>74</v>
      </c>
      <c r="AY290" t="s">
        <v>74</v>
      </c>
      <c r="AZ290" t="s">
        <v>74</v>
      </c>
      <c r="BA290" t="s">
        <v>74</v>
      </c>
      <c r="BB290">
        <v>3757</v>
      </c>
      <c r="BC290">
        <v>3760</v>
      </c>
      <c r="BD290" t="s">
        <v>74</v>
      </c>
      <c r="BE290" t="s">
        <v>74</v>
      </c>
      <c r="BF290" t="s">
        <v>74</v>
      </c>
      <c r="BG290" t="s">
        <v>74</v>
      </c>
      <c r="BH290" t="s">
        <v>74</v>
      </c>
      <c r="BI290">
        <v>4</v>
      </c>
      <c r="BJ290" t="s">
        <v>3109</v>
      </c>
      <c r="BK290" t="s">
        <v>96</v>
      </c>
      <c r="BL290" t="s">
        <v>3109</v>
      </c>
      <c r="BM290" t="s">
        <v>4146</v>
      </c>
      <c r="BN290">
        <v>10427082</v>
      </c>
      <c r="BO290" t="s">
        <v>74</v>
      </c>
      <c r="BP290" t="s">
        <v>74</v>
      </c>
      <c r="BQ290" t="s">
        <v>74</v>
      </c>
      <c r="BR290" t="s">
        <v>99</v>
      </c>
      <c r="BS290" t="s">
        <v>4147</v>
      </c>
      <c r="BT290" t="str">
        <f>HYPERLINK("https%3A%2F%2Fwww.webofscience.com%2Fwos%2Fwoscc%2Ffull-record%2FWOS:000081865000078","View Full Record in Web of Science")</f>
        <v>View Full Record in Web of Science</v>
      </c>
    </row>
    <row r="291" spans="1:72" x14ac:dyDescent="0.15">
      <c r="A291" t="s">
        <v>72</v>
      </c>
      <c r="B291" t="s">
        <v>4148</v>
      </c>
      <c r="C291" t="s">
        <v>74</v>
      </c>
      <c r="D291" t="s">
        <v>74</v>
      </c>
      <c r="E291" t="s">
        <v>74</v>
      </c>
      <c r="F291" t="s">
        <v>4148</v>
      </c>
      <c r="G291" t="s">
        <v>74</v>
      </c>
      <c r="H291" t="s">
        <v>74</v>
      </c>
      <c r="I291" t="s">
        <v>4149</v>
      </c>
      <c r="J291" t="s">
        <v>579</v>
      </c>
      <c r="K291" t="s">
        <v>74</v>
      </c>
      <c r="L291" t="s">
        <v>74</v>
      </c>
      <c r="M291" t="s">
        <v>77</v>
      </c>
      <c r="N291" t="s">
        <v>78</v>
      </c>
      <c r="O291" t="s">
        <v>74</v>
      </c>
      <c r="P291" t="s">
        <v>74</v>
      </c>
      <c r="Q291" t="s">
        <v>74</v>
      </c>
      <c r="R291" t="s">
        <v>74</v>
      </c>
      <c r="S291" t="s">
        <v>74</v>
      </c>
      <c r="T291" t="s">
        <v>74</v>
      </c>
      <c r="U291" t="s">
        <v>4150</v>
      </c>
      <c r="V291" t="s">
        <v>74</v>
      </c>
      <c r="W291" t="s">
        <v>4151</v>
      </c>
      <c r="X291" t="s">
        <v>4152</v>
      </c>
      <c r="Y291" t="s">
        <v>4153</v>
      </c>
      <c r="Z291" t="s">
        <v>74</v>
      </c>
      <c r="AA291" t="s">
        <v>74</v>
      </c>
      <c r="AB291" t="s">
        <v>74</v>
      </c>
      <c r="AC291" t="s">
        <v>74</v>
      </c>
      <c r="AD291" t="s">
        <v>74</v>
      </c>
      <c r="AE291" t="s">
        <v>74</v>
      </c>
      <c r="AF291" t="s">
        <v>74</v>
      </c>
      <c r="AG291">
        <v>9</v>
      </c>
      <c r="AH291">
        <v>6</v>
      </c>
      <c r="AI291">
        <v>6</v>
      </c>
      <c r="AJ291">
        <v>0</v>
      </c>
      <c r="AK291">
        <v>3</v>
      </c>
      <c r="AL291" t="s">
        <v>588</v>
      </c>
      <c r="AM291" t="s">
        <v>589</v>
      </c>
      <c r="AN291" t="s">
        <v>590</v>
      </c>
      <c r="AO291" t="s">
        <v>591</v>
      </c>
      <c r="AP291" t="s">
        <v>74</v>
      </c>
      <c r="AQ291" t="s">
        <v>74</v>
      </c>
      <c r="AR291" t="s">
        <v>593</v>
      </c>
      <c r="AS291" t="s">
        <v>594</v>
      </c>
      <c r="AT291" t="s">
        <v>4100</v>
      </c>
      <c r="AU291">
        <v>1999</v>
      </c>
      <c r="AV291">
        <v>31</v>
      </c>
      <c r="AW291">
        <v>3</v>
      </c>
      <c r="AX291" t="s">
        <v>74</v>
      </c>
      <c r="AY291" t="s">
        <v>74</v>
      </c>
      <c r="AZ291" t="s">
        <v>74</v>
      </c>
      <c r="BA291" t="s">
        <v>74</v>
      </c>
      <c r="BB291">
        <v>211</v>
      </c>
      <c r="BC291">
        <v>213</v>
      </c>
      <c r="BD291" t="s">
        <v>74</v>
      </c>
      <c r="BE291" t="s">
        <v>4154</v>
      </c>
      <c r="BF291" t="str">
        <f>HYPERLINK("http://dx.doi.org/10.2307/1552249","http://dx.doi.org/10.2307/1552249")</f>
        <v>http://dx.doi.org/10.2307/1552249</v>
      </c>
      <c r="BG291" t="s">
        <v>74</v>
      </c>
      <c r="BH291" t="s">
        <v>74</v>
      </c>
      <c r="BI291">
        <v>3</v>
      </c>
      <c r="BJ291" t="s">
        <v>596</v>
      </c>
      <c r="BK291" t="s">
        <v>96</v>
      </c>
      <c r="BL291" t="s">
        <v>597</v>
      </c>
      <c r="BM291" t="s">
        <v>4155</v>
      </c>
      <c r="BN291" t="s">
        <v>74</v>
      </c>
      <c r="BO291" t="s">
        <v>74</v>
      </c>
      <c r="BP291" t="s">
        <v>74</v>
      </c>
      <c r="BQ291" t="s">
        <v>74</v>
      </c>
      <c r="BR291" t="s">
        <v>99</v>
      </c>
      <c r="BS291" t="s">
        <v>4156</v>
      </c>
      <c r="BT291" t="str">
        <f>HYPERLINK("https%3A%2F%2Fwww.webofscience.com%2Fwos%2Fwoscc%2Ffull-record%2FWOS:000082058400001","View Full Record in Web of Science")</f>
        <v>View Full Record in Web of Science</v>
      </c>
    </row>
    <row r="292" spans="1:72" x14ac:dyDescent="0.15">
      <c r="A292" t="s">
        <v>72</v>
      </c>
      <c r="B292" t="s">
        <v>4157</v>
      </c>
      <c r="C292" t="s">
        <v>74</v>
      </c>
      <c r="D292" t="s">
        <v>74</v>
      </c>
      <c r="E292" t="s">
        <v>74</v>
      </c>
      <c r="F292" t="s">
        <v>4157</v>
      </c>
      <c r="G292" t="s">
        <v>74</v>
      </c>
      <c r="H292" t="s">
        <v>74</v>
      </c>
      <c r="I292" t="s">
        <v>4158</v>
      </c>
      <c r="J292" t="s">
        <v>579</v>
      </c>
      <c r="K292" t="s">
        <v>74</v>
      </c>
      <c r="L292" t="s">
        <v>74</v>
      </c>
      <c r="M292" t="s">
        <v>77</v>
      </c>
      <c r="N292" t="s">
        <v>78</v>
      </c>
      <c r="O292" t="s">
        <v>74</v>
      </c>
      <c r="P292" t="s">
        <v>74</v>
      </c>
      <c r="Q292" t="s">
        <v>74</v>
      </c>
      <c r="R292" t="s">
        <v>74</v>
      </c>
      <c r="S292" t="s">
        <v>74</v>
      </c>
      <c r="T292" t="s">
        <v>74</v>
      </c>
      <c r="U292" t="s">
        <v>4159</v>
      </c>
      <c r="V292" t="s">
        <v>4160</v>
      </c>
      <c r="W292" t="s">
        <v>4161</v>
      </c>
      <c r="X292" t="s">
        <v>4162</v>
      </c>
      <c r="Y292" t="s">
        <v>4163</v>
      </c>
      <c r="Z292" t="s">
        <v>74</v>
      </c>
      <c r="AA292" t="s">
        <v>4164</v>
      </c>
      <c r="AB292" t="s">
        <v>4165</v>
      </c>
      <c r="AC292" t="s">
        <v>74</v>
      </c>
      <c r="AD292" t="s">
        <v>74</v>
      </c>
      <c r="AE292" t="s">
        <v>74</v>
      </c>
      <c r="AF292" t="s">
        <v>74</v>
      </c>
      <c r="AG292">
        <v>40</v>
      </c>
      <c r="AH292">
        <v>31</v>
      </c>
      <c r="AI292">
        <v>34</v>
      </c>
      <c r="AJ292">
        <v>1</v>
      </c>
      <c r="AK292">
        <v>12</v>
      </c>
      <c r="AL292" t="s">
        <v>588</v>
      </c>
      <c r="AM292" t="s">
        <v>589</v>
      </c>
      <c r="AN292" t="s">
        <v>590</v>
      </c>
      <c r="AO292" t="s">
        <v>591</v>
      </c>
      <c r="AP292" t="s">
        <v>74</v>
      </c>
      <c r="AQ292" t="s">
        <v>74</v>
      </c>
      <c r="AR292" t="s">
        <v>593</v>
      </c>
      <c r="AS292" t="s">
        <v>594</v>
      </c>
      <c r="AT292" t="s">
        <v>4100</v>
      </c>
      <c r="AU292">
        <v>1999</v>
      </c>
      <c r="AV292">
        <v>31</v>
      </c>
      <c r="AW292">
        <v>3</v>
      </c>
      <c r="AX292" t="s">
        <v>74</v>
      </c>
      <c r="AY292" t="s">
        <v>74</v>
      </c>
      <c r="AZ292" t="s">
        <v>74</v>
      </c>
      <c r="BA292" t="s">
        <v>74</v>
      </c>
      <c r="BB292">
        <v>214</v>
      </c>
      <c r="BC292">
        <v>229</v>
      </c>
      <c r="BD292" t="s">
        <v>74</v>
      </c>
      <c r="BE292" t="s">
        <v>4166</v>
      </c>
      <c r="BF292" t="str">
        <f>HYPERLINK("http://dx.doi.org/10.2307/1552250","http://dx.doi.org/10.2307/1552250")</f>
        <v>http://dx.doi.org/10.2307/1552250</v>
      </c>
      <c r="BG292" t="s">
        <v>74</v>
      </c>
      <c r="BH292" t="s">
        <v>74</v>
      </c>
      <c r="BI292">
        <v>16</v>
      </c>
      <c r="BJ292" t="s">
        <v>596</v>
      </c>
      <c r="BK292" t="s">
        <v>96</v>
      </c>
      <c r="BL292" t="s">
        <v>597</v>
      </c>
      <c r="BM292" t="s">
        <v>4155</v>
      </c>
      <c r="BN292" t="s">
        <v>74</v>
      </c>
      <c r="BO292" t="s">
        <v>74</v>
      </c>
      <c r="BP292" t="s">
        <v>74</v>
      </c>
      <c r="BQ292" t="s">
        <v>74</v>
      </c>
      <c r="BR292" t="s">
        <v>99</v>
      </c>
      <c r="BS292" t="s">
        <v>4167</v>
      </c>
      <c r="BT292" t="str">
        <f>HYPERLINK("https%3A%2F%2Fwww.webofscience.com%2Fwos%2Fwoscc%2Ffull-record%2FWOS:000082058400002","View Full Record in Web of Science")</f>
        <v>View Full Record in Web of Science</v>
      </c>
    </row>
    <row r="293" spans="1:72" x14ac:dyDescent="0.15">
      <c r="A293" t="s">
        <v>72</v>
      </c>
      <c r="B293" t="s">
        <v>4168</v>
      </c>
      <c r="C293" t="s">
        <v>74</v>
      </c>
      <c r="D293" t="s">
        <v>74</v>
      </c>
      <c r="E293" t="s">
        <v>74</v>
      </c>
      <c r="F293" t="s">
        <v>4168</v>
      </c>
      <c r="G293" t="s">
        <v>74</v>
      </c>
      <c r="H293" t="s">
        <v>74</v>
      </c>
      <c r="I293" t="s">
        <v>4169</v>
      </c>
      <c r="J293" t="s">
        <v>579</v>
      </c>
      <c r="K293" t="s">
        <v>74</v>
      </c>
      <c r="L293" t="s">
        <v>74</v>
      </c>
      <c r="M293" t="s">
        <v>77</v>
      </c>
      <c r="N293" t="s">
        <v>254</v>
      </c>
      <c r="O293" t="s">
        <v>74</v>
      </c>
      <c r="P293" t="s">
        <v>74</v>
      </c>
      <c r="Q293" t="s">
        <v>74</v>
      </c>
      <c r="R293" t="s">
        <v>74</v>
      </c>
      <c r="S293" t="s">
        <v>74</v>
      </c>
      <c r="T293" t="s">
        <v>74</v>
      </c>
      <c r="U293" t="s">
        <v>4170</v>
      </c>
      <c r="V293" t="s">
        <v>4171</v>
      </c>
      <c r="W293" t="s">
        <v>4172</v>
      </c>
      <c r="X293" t="s">
        <v>4173</v>
      </c>
      <c r="Y293" t="s">
        <v>4174</v>
      </c>
      <c r="Z293" t="s">
        <v>74</v>
      </c>
      <c r="AA293" t="s">
        <v>74</v>
      </c>
      <c r="AB293" t="s">
        <v>74</v>
      </c>
      <c r="AC293" t="s">
        <v>74</v>
      </c>
      <c r="AD293" t="s">
        <v>74</v>
      </c>
      <c r="AE293" t="s">
        <v>74</v>
      </c>
      <c r="AF293" t="s">
        <v>74</v>
      </c>
      <c r="AG293">
        <v>151</v>
      </c>
      <c r="AH293">
        <v>16</v>
      </c>
      <c r="AI293">
        <v>19</v>
      </c>
      <c r="AJ293">
        <v>1</v>
      </c>
      <c r="AK293">
        <v>12</v>
      </c>
      <c r="AL293" t="s">
        <v>588</v>
      </c>
      <c r="AM293" t="s">
        <v>589</v>
      </c>
      <c r="AN293" t="s">
        <v>590</v>
      </c>
      <c r="AO293" t="s">
        <v>591</v>
      </c>
      <c r="AP293" t="s">
        <v>74</v>
      </c>
      <c r="AQ293" t="s">
        <v>74</v>
      </c>
      <c r="AR293" t="s">
        <v>593</v>
      </c>
      <c r="AS293" t="s">
        <v>594</v>
      </c>
      <c r="AT293" t="s">
        <v>4100</v>
      </c>
      <c r="AU293">
        <v>1999</v>
      </c>
      <c r="AV293">
        <v>31</v>
      </c>
      <c r="AW293">
        <v>3</v>
      </c>
      <c r="AX293" t="s">
        <v>74</v>
      </c>
      <c r="AY293" t="s">
        <v>74</v>
      </c>
      <c r="AZ293" t="s">
        <v>74</v>
      </c>
      <c r="BA293" t="s">
        <v>74</v>
      </c>
      <c r="BB293">
        <v>230</v>
      </c>
      <c r="BC293">
        <v>241</v>
      </c>
      <c r="BD293" t="s">
        <v>74</v>
      </c>
      <c r="BE293" t="s">
        <v>4175</v>
      </c>
      <c r="BF293" t="str">
        <f>HYPERLINK("http://dx.doi.org/10.2307/1552251","http://dx.doi.org/10.2307/1552251")</f>
        <v>http://dx.doi.org/10.2307/1552251</v>
      </c>
      <c r="BG293" t="s">
        <v>74</v>
      </c>
      <c r="BH293" t="s">
        <v>74</v>
      </c>
      <c r="BI293">
        <v>12</v>
      </c>
      <c r="BJ293" t="s">
        <v>596</v>
      </c>
      <c r="BK293" t="s">
        <v>96</v>
      </c>
      <c r="BL293" t="s">
        <v>597</v>
      </c>
      <c r="BM293" t="s">
        <v>4155</v>
      </c>
      <c r="BN293" t="s">
        <v>74</v>
      </c>
      <c r="BO293" t="s">
        <v>74</v>
      </c>
      <c r="BP293" t="s">
        <v>74</v>
      </c>
      <c r="BQ293" t="s">
        <v>74</v>
      </c>
      <c r="BR293" t="s">
        <v>99</v>
      </c>
      <c r="BS293" t="s">
        <v>4176</v>
      </c>
      <c r="BT293" t="str">
        <f>HYPERLINK("https%3A%2F%2Fwww.webofscience.com%2Fwos%2Fwoscc%2Ffull-record%2FWOS:000082058400003","View Full Record in Web of Science")</f>
        <v>View Full Record in Web of Science</v>
      </c>
    </row>
    <row r="294" spans="1:72" x14ac:dyDescent="0.15">
      <c r="A294" t="s">
        <v>72</v>
      </c>
      <c r="B294" t="s">
        <v>4177</v>
      </c>
      <c r="C294" t="s">
        <v>74</v>
      </c>
      <c r="D294" t="s">
        <v>74</v>
      </c>
      <c r="E294" t="s">
        <v>74</v>
      </c>
      <c r="F294" t="s">
        <v>4177</v>
      </c>
      <c r="G294" t="s">
        <v>74</v>
      </c>
      <c r="H294" t="s">
        <v>74</v>
      </c>
      <c r="I294" t="s">
        <v>4178</v>
      </c>
      <c r="J294" t="s">
        <v>579</v>
      </c>
      <c r="K294" t="s">
        <v>74</v>
      </c>
      <c r="L294" t="s">
        <v>74</v>
      </c>
      <c r="M294" t="s">
        <v>77</v>
      </c>
      <c r="N294" t="s">
        <v>78</v>
      </c>
      <c r="O294" t="s">
        <v>74</v>
      </c>
      <c r="P294" t="s">
        <v>74</v>
      </c>
      <c r="Q294" t="s">
        <v>74</v>
      </c>
      <c r="R294" t="s">
        <v>74</v>
      </c>
      <c r="S294" t="s">
        <v>74</v>
      </c>
      <c r="T294" t="s">
        <v>74</v>
      </c>
      <c r="U294" t="s">
        <v>4179</v>
      </c>
      <c r="V294" t="s">
        <v>4180</v>
      </c>
      <c r="W294" t="s">
        <v>4181</v>
      </c>
      <c r="X294" t="s">
        <v>4182</v>
      </c>
      <c r="Y294" t="s">
        <v>4183</v>
      </c>
      <c r="Z294" t="s">
        <v>74</v>
      </c>
      <c r="AA294" t="s">
        <v>4184</v>
      </c>
      <c r="AB294" t="s">
        <v>4185</v>
      </c>
      <c r="AC294" t="s">
        <v>74</v>
      </c>
      <c r="AD294" t="s">
        <v>74</v>
      </c>
      <c r="AE294" t="s">
        <v>74</v>
      </c>
      <c r="AF294" t="s">
        <v>74</v>
      </c>
      <c r="AG294">
        <v>39</v>
      </c>
      <c r="AH294">
        <v>32</v>
      </c>
      <c r="AI294">
        <v>41</v>
      </c>
      <c r="AJ294">
        <v>0</v>
      </c>
      <c r="AK294">
        <v>15</v>
      </c>
      <c r="AL294" t="s">
        <v>588</v>
      </c>
      <c r="AM294" t="s">
        <v>589</v>
      </c>
      <c r="AN294" t="s">
        <v>590</v>
      </c>
      <c r="AO294" t="s">
        <v>591</v>
      </c>
      <c r="AP294" t="s">
        <v>74</v>
      </c>
      <c r="AQ294" t="s">
        <v>74</v>
      </c>
      <c r="AR294" t="s">
        <v>593</v>
      </c>
      <c r="AS294" t="s">
        <v>594</v>
      </c>
      <c r="AT294" t="s">
        <v>4100</v>
      </c>
      <c r="AU294">
        <v>1999</v>
      </c>
      <c r="AV294">
        <v>31</v>
      </c>
      <c r="AW294">
        <v>3</v>
      </c>
      <c r="AX294" t="s">
        <v>74</v>
      </c>
      <c r="AY294" t="s">
        <v>74</v>
      </c>
      <c r="AZ294" t="s">
        <v>74</v>
      </c>
      <c r="BA294" t="s">
        <v>74</v>
      </c>
      <c r="BB294">
        <v>242</v>
      </c>
      <c r="BC294">
        <v>246</v>
      </c>
      <c r="BD294" t="s">
        <v>74</v>
      </c>
      <c r="BE294" t="s">
        <v>4186</v>
      </c>
      <c r="BF294" t="str">
        <f>HYPERLINK("http://dx.doi.org/10.2307/1552252","http://dx.doi.org/10.2307/1552252")</f>
        <v>http://dx.doi.org/10.2307/1552252</v>
      </c>
      <c r="BG294" t="s">
        <v>74</v>
      </c>
      <c r="BH294" t="s">
        <v>74</v>
      </c>
      <c r="BI294">
        <v>5</v>
      </c>
      <c r="BJ294" t="s">
        <v>596</v>
      </c>
      <c r="BK294" t="s">
        <v>96</v>
      </c>
      <c r="BL294" t="s">
        <v>597</v>
      </c>
      <c r="BM294" t="s">
        <v>4155</v>
      </c>
      <c r="BN294" t="s">
        <v>74</v>
      </c>
      <c r="BO294" t="s">
        <v>250</v>
      </c>
      <c r="BP294" t="s">
        <v>74</v>
      </c>
      <c r="BQ294" t="s">
        <v>74</v>
      </c>
      <c r="BR294" t="s">
        <v>99</v>
      </c>
      <c r="BS294" t="s">
        <v>4187</v>
      </c>
      <c r="BT294" t="str">
        <f>HYPERLINK("https%3A%2F%2Fwww.webofscience.com%2Fwos%2Fwoscc%2Ffull-record%2FWOS:000082058400004","View Full Record in Web of Science")</f>
        <v>View Full Record in Web of Science</v>
      </c>
    </row>
    <row r="295" spans="1:72" x14ac:dyDescent="0.15">
      <c r="A295" t="s">
        <v>72</v>
      </c>
      <c r="B295" t="s">
        <v>4188</v>
      </c>
      <c r="C295" t="s">
        <v>74</v>
      </c>
      <c r="D295" t="s">
        <v>74</v>
      </c>
      <c r="E295" t="s">
        <v>74</v>
      </c>
      <c r="F295" t="s">
        <v>4188</v>
      </c>
      <c r="G295" t="s">
        <v>74</v>
      </c>
      <c r="H295" t="s">
        <v>74</v>
      </c>
      <c r="I295" t="s">
        <v>4189</v>
      </c>
      <c r="J295" t="s">
        <v>579</v>
      </c>
      <c r="K295" t="s">
        <v>74</v>
      </c>
      <c r="L295" t="s">
        <v>74</v>
      </c>
      <c r="M295" t="s">
        <v>77</v>
      </c>
      <c r="N295" t="s">
        <v>78</v>
      </c>
      <c r="O295" t="s">
        <v>74</v>
      </c>
      <c r="P295" t="s">
        <v>74</v>
      </c>
      <c r="Q295" t="s">
        <v>74</v>
      </c>
      <c r="R295" t="s">
        <v>74</v>
      </c>
      <c r="S295" t="s">
        <v>74</v>
      </c>
      <c r="T295" t="s">
        <v>74</v>
      </c>
      <c r="U295" t="s">
        <v>4190</v>
      </c>
      <c r="V295" t="s">
        <v>4191</v>
      </c>
      <c r="W295" t="s">
        <v>4192</v>
      </c>
      <c r="X295" t="s">
        <v>4193</v>
      </c>
      <c r="Y295" t="s">
        <v>4194</v>
      </c>
      <c r="Z295" t="s">
        <v>4195</v>
      </c>
      <c r="AA295" t="s">
        <v>4196</v>
      </c>
      <c r="AB295" t="s">
        <v>4197</v>
      </c>
      <c r="AC295" t="s">
        <v>74</v>
      </c>
      <c r="AD295" t="s">
        <v>74</v>
      </c>
      <c r="AE295" t="s">
        <v>74</v>
      </c>
      <c r="AF295" t="s">
        <v>74</v>
      </c>
      <c r="AG295">
        <v>52</v>
      </c>
      <c r="AH295">
        <v>69</v>
      </c>
      <c r="AI295">
        <v>80</v>
      </c>
      <c r="AJ295">
        <v>2</v>
      </c>
      <c r="AK295">
        <v>36</v>
      </c>
      <c r="AL295" t="s">
        <v>588</v>
      </c>
      <c r="AM295" t="s">
        <v>589</v>
      </c>
      <c r="AN295" t="s">
        <v>590</v>
      </c>
      <c r="AO295" t="s">
        <v>591</v>
      </c>
      <c r="AP295" t="s">
        <v>74</v>
      </c>
      <c r="AQ295" t="s">
        <v>74</v>
      </c>
      <c r="AR295" t="s">
        <v>593</v>
      </c>
      <c r="AS295" t="s">
        <v>594</v>
      </c>
      <c r="AT295" t="s">
        <v>4100</v>
      </c>
      <c r="AU295">
        <v>1999</v>
      </c>
      <c r="AV295">
        <v>31</v>
      </c>
      <c r="AW295">
        <v>3</v>
      </c>
      <c r="AX295" t="s">
        <v>74</v>
      </c>
      <c r="AY295" t="s">
        <v>74</v>
      </c>
      <c r="AZ295" t="s">
        <v>74</v>
      </c>
      <c r="BA295" t="s">
        <v>74</v>
      </c>
      <c r="BB295">
        <v>247</v>
      </c>
      <c r="BC295">
        <v>253</v>
      </c>
      <c r="BD295" t="s">
        <v>74</v>
      </c>
      <c r="BE295" t="s">
        <v>4198</v>
      </c>
      <c r="BF295" t="str">
        <f>HYPERLINK("http://dx.doi.org/10.2307/1552253","http://dx.doi.org/10.2307/1552253")</f>
        <v>http://dx.doi.org/10.2307/1552253</v>
      </c>
      <c r="BG295" t="s">
        <v>74</v>
      </c>
      <c r="BH295" t="s">
        <v>74</v>
      </c>
      <c r="BI295">
        <v>7</v>
      </c>
      <c r="BJ295" t="s">
        <v>596</v>
      </c>
      <c r="BK295" t="s">
        <v>96</v>
      </c>
      <c r="BL295" t="s">
        <v>597</v>
      </c>
      <c r="BM295" t="s">
        <v>4155</v>
      </c>
      <c r="BN295" t="s">
        <v>74</v>
      </c>
      <c r="BO295" t="s">
        <v>250</v>
      </c>
      <c r="BP295" t="s">
        <v>74</v>
      </c>
      <c r="BQ295" t="s">
        <v>74</v>
      </c>
      <c r="BR295" t="s">
        <v>99</v>
      </c>
      <c r="BS295" t="s">
        <v>4199</v>
      </c>
      <c r="BT295" t="str">
        <f>HYPERLINK("https%3A%2F%2Fwww.webofscience.com%2Fwos%2Fwoscc%2Ffull-record%2FWOS:000082058400005","View Full Record in Web of Science")</f>
        <v>View Full Record in Web of Science</v>
      </c>
    </row>
    <row r="296" spans="1:72" x14ac:dyDescent="0.15">
      <c r="A296" t="s">
        <v>72</v>
      </c>
      <c r="B296" t="s">
        <v>4200</v>
      </c>
      <c r="C296" t="s">
        <v>74</v>
      </c>
      <c r="D296" t="s">
        <v>74</v>
      </c>
      <c r="E296" t="s">
        <v>74</v>
      </c>
      <c r="F296" t="s">
        <v>4200</v>
      </c>
      <c r="G296" t="s">
        <v>74</v>
      </c>
      <c r="H296" t="s">
        <v>74</v>
      </c>
      <c r="I296" t="s">
        <v>4201</v>
      </c>
      <c r="J296" t="s">
        <v>579</v>
      </c>
      <c r="K296" t="s">
        <v>74</v>
      </c>
      <c r="L296" t="s">
        <v>74</v>
      </c>
      <c r="M296" t="s">
        <v>77</v>
      </c>
      <c r="N296" t="s">
        <v>78</v>
      </c>
      <c r="O296" t="s">
        <v>74</v>
      </c>
      <c r="P296" t="s">
        <v>74</v>
      </c>
      <c r="Q296" t="s">
        <v>74</v>
      </c>
      <c r="R296" t="s">
        <v>74</v>
      </c>
      <c r="S296" t="s">
        <v>74</v>
      </c>
      <c r="T296" t="s">
        <v>74</v>
      </c>
      <c r="U296" t="s">
        <v>4202</v>
      </c>
      <c r="V296" t="s">
        <v>4203</v>
      </c>
      <c r="W296" t="s">
        <v>4204</v>
      </c>
      <c r="X296" t="s">
        <v>4205</v>
      </c>
      <c r="Y296" t="s">
        <v>4206</v>
      </c>
      <c r="Z296" t="s">
        <v>74</v>
      </c>
      <c r="AA296" t="s">
        <v>4207</v>
      </c>
      <c r="AB296" t="s">
        <v>4208</v>
      </c>
      <c r="AC296" t="s">
        <v>74</v>
      </c>
      <c r="AD296" t="s">
        <v>74</v>
      </c>
      <c r="AE296" t="s">
        <v>74</v>
      </c>
      <c r="AF296" t="s">
        <v>74</v>
      </c>
      <c r="AG296">
        <v>32</v>
      </c>
      <c r="AH296">
        <v>30</v>
      </c>
      <c r="AI296">
        <v>35</v>
      </c>
      <c r="AJ296">
        <v>2</v>
      </c>
      <c r="AK296">
        <v>25</v>
      </c>
      <c r="AL296" t="s">
        <v>588</v>
      </c>
      <c r="AM296" t="s">
        <v>589</v>
      </c>
      <c r="AN296" t="s">
        <v>590</v>
      </c>
      <c r="AO296" t="s">
        <v>591</v>
      </c>
      <c r="AP296" t="s">
        <v>74</v>
      </c>
      <c r="AQ296" t="s">
        <v>74</v>
      </c>
      <c r="AR296" t="s">
        <v>593</v>
      </c>
      <c r="AS296" t="s">
        <v>594</v>
      </c>
      <c r="AT296" t="s">
        <v>4100</v>
      </c>
      <c r="AU296">
        <v>1999</v>
      </c>
      <c r="AV296">
        <v>31</v>
      </c>
      <c r="AW296">
        <v>3</v>
      </c>
      <c r="AX296" t="s">
        <v>74</v>
      </c>
      <c r="AY296" t="s">
        <v>74</v>
      </c>
      <c r="AZ296" t="s">
        <v>74</v>
      </c>
      <c r="BA296" t="s">
        <v>74</v>
      </c>
      <c r="BB296">
        <v>254</v>
      </c>
      <c r="BC296">
        <v>258</v>
      </c>
      <c r="BD296" t="s">
        <v>74</v>
      </c>
      <c r="BE296" t="s">
        <v>4209</v>
      </c>
      <c r="BF296" t="str">
        <f>HYPERLINK("http://dx.doi.org/10.2307/1552254","http://dx.doi.org/10.2307/1552254")</f>
        <v>http://dx.doi.org/10.2307/1552254</v>
      </c>
      <c r="BG296" t="s">
        <v>74</v>
      </c>
      <c r="BH296" t="s">
        <v>74</v>
      </c>
      <c r="BI296">
        <v>5</v>
      </c>
      <c r="BJ296" t="s">
        <v>596</v>
      </c>
      <c r="BK296" t="s">
        <v>96</v>
      </c>
      <c r="BL296" t="s">
        <v>597</v>
      </c>
      <c r="BM296" t="s">
        <v>4155</v>
      </c>
      <c r="BN296" t="s">
        <v>74</v>
      </c>
      <c r="BO296" t="s">
        <v>250</v>
      </c>
      <c r="BP296" t="s">
        <v>74</v>
      </c>
      <c r="BQ296" t="s">
        <v>74</v>
      </c>
      <c r="BR296" t="s">
        <v>99</v>
      </c>
      <c r="BS296" t="s">
        <v>4210</v>
      </c>
      <c r="BT296" t="str">
        <f>HYPERLINK("https%3A%2F%2Fwww.webofscience.com%2Fwos%2Fwoscc%2Ffull-record%2FWOS:000082058400006","View Full Record in Web of Science")</f>
        <v>View Full Record in Web of Science</v>
      </c>
    </row>
    <row r="297" spans="1:72" x14ac:dyDescent="0.15">
      <c r="A297" t="s">
        <v>72</v>
      </c>
      <c r="B297" t="s">
        <v>4211</v>
      </c>
      <c r="C297" t="s">
        <v>74</v>
      </c>
      <c r="D297" t="s">
        <v>74</v>
      </c>
      <c r="E297" t="s">
        <v>74</v>
      </c>
      <c r="F297" t="s">
        <v>4211</v>
      </c>
      <c r="G297" t="s">
        <v>74</v>
      </c>
      <c r="H297" t="s">
        <v>74</v>
      </c>
      <c r="I297" t="s">
        <v>4212</v>
      </c>
      <c r="J297" t="s">
        <v>579</v>
      </c>
      <c r="K297" t="s">
        <v>74</v>
      </c>
      <c r="L297" t="s">
        <v>74</v>
      </c>
      <c r="M297" t="s">
        <v>77</v>
      </c>
      <c r="N297" t="s">
        <v>78</v>
      </c>
      <c r="O297" t="s">
        <v>74</v>
      </c>
      <c r="P297" t="s">
        <v>74</v>
      </c>
      <c r="Q297" t="s">
        <v>74</v>
      </c>
      <c r="R297" t="s">
        <v>74</v>
      </c>
      <c r="S297" t="s">
        <v>74</v>
      </c>
      <c r="T297" t="s">
        <v>74</v>
      </c>
      <c r="U297" t="s">
        <v>4213</v>
      </c>
      <c r="V297" t="s">
        <v>4214</v>
      </c>
      <c r="W297" t="s">
        <v>4215</v>
      </c>
      <c r="X297" t="s">
        <v>4216</v>
      </c>
      <c r="Y297" t="s">
        <v>4217</v>
      </c>
      <c r="Z297" t="s">
        <v>4218</v>
      </c>
      <c r="AA297" t="s">
        <v>4219</v>
      </c>
      <c r="AB297" t="s">
        <v>4220</v>
      </c>
      <c r="AC297" t="s">
        <v>74</v>
      </c>
      <c r="AD297" t="s">
        <v>74</v>
      </c>
      <c r="AE297" t="s">
        <v>74</v>
      </c>
      <c r="AF297" t="s">
        <v>74</v>
      </c>
      <c r="AG297">
        <v>32</v>
      </c>
      <c r="AH297">
        <v>23</v>
      </c>
      <c r="AI297">
        <v>24</v>
      </c>
      <c r="AJ297">
        <v>3</v>
      </c>
      <c r="AK297">
        <v>21</v>
      </c>
      <c r="AL297" t="s">
        <v>588</v>
      </c>
      <c r="AM297" t="s">
        <v>589</v>
      </c>
      <c r="AN297" t="s">
        <v>590</v>
      </c>
      <c r="AO297" t="s">
        <v>591</v>
      </c>
      <c r="AP297" t="s">
        <v>592</v>
      </c>
      <c r="AQ297" t="s">
        <v>74</v>
      </c>
      <c r="AR297" t="s">
        <v>593</v>
      </c>
      <c r="AS297" t="s">
        <v>594</v>
      </c>
      <c r="AT297" t="s">
        <v>4100</v>
      </c>
      <c r="AU297">
        <v>1999</v>
      </c>
      <c r="AV297">
        <v>31</v>
      </c>
      <c r="AW297">
        <v>3</v>
      </c>
      <c r="AX297" t="s">
        <v>74</v>
      </c>
      <c r="AY297" t="s">
        <v>74</v>
      </c>
      <c r="AZ297" t="s">
        <v>74</v>
      </c>
      <c r="BA297" t="s">
        <v>74</v>
      </c>
      <c r="BB297">
        <v>259</v>
      </c>
      <c r="BC297">
        <v>263</v>
      </c>
      <c r="BD297" t="s">
        <v>74</v>
      </c>
      <c r="BE297" t="s">
        <v>4221</v>
      </c>
      <c r="BF297" t="str">
        <f>HYPERLINK("http://dx.doi.org/10.2307/1552255","http://dx.doi.org/10.2307/1552255")</f>
        <v>http://dx.doi.org/10.2307/1552255</v>
      </c>
      <c r="BG297" t="s">
        <v>74</v>
      </c>
      <c r="BH297" t="s">
        <v>74</v>
      </c>
      <c r="BI297">
        <v>5</v>
      </c>
      <c r="BJ297" t="s">
        <v>596</v>
      </c>
      <c r="BK297" t="s">
        <v>96</v>
      </c>
      <c r="BL297" t="s">
        <v>597</v>
      </c>
      <c r="BM297" t="s">
        <v>4155</v>
      </c>
      <c r="BN297" t="s">
        <v>74</v>
      </c>
      <c r="BO297" t="s">
        <v>610</v>
      </c>
      <c r="BP297" t="s">
        <v>74</v>
      </c>
      <c r="BQ297" t="s">
        <v>74</v>
      </c>
      <c r="BR297" t="s">
        <v>99</v>
      </c>
      <c r="BS297" t="s">
        <v>4222</v>
      </c>
      <c r="BT297" t="str">
        <f>HYPERLINK("https%3A%2F%2Fwww.webofscience.com%2Fwos%2Fwoscc%2Ffull-record%2FWOS:000082058400007","View Full Record in Web of Science")</f>
        <v>View Full Record in Web of Science</v>
      </c>
    </row>
    <row r="298" spans="1:72" x14ac:dyDescent="0.15">
      <c r="A298" t="s">
        <v>72</v>
      </c>
      <c r="B298" t="s">
        <v>4223</v>
      </c>
      <c r="C298" t="s">
        <v>74</v>
      </c>
      <c r="D298" t="s">
        <v>74</v>
      </c>
      <c r="E298" t="s">
        <v>74</v>
      </c>
      <c r="F298" t="s">
        <v>4223</v>
      </c>
      <c r="G298" t="s">
        <v>74</v>
      </c>
      <c r="H298" t="s">
        <v>74</v>
      </c>
      <c r="I298" t="s">
        <v>4224</v>
      </c>
      <c r="J298" t="s">
        <v>579</v>
      </c>
      <c r="K298" t="s">
        <v>74</v>
      </c>
      <c r="L298" t="s">
        <v>74</v>
      </c>
      <c r="M298" t="s">
        <v>77</v>
      </c>
      <c r="N298" t="s">
        <v>78</v>
      </c>
      <c r="O298" t="s">
        <v>74</v>
      </c>
      <c r="P298" t="s">
        <v>74</v>
      </c>
      <c r="Q298" t="s">
        <v>74</v>
      </c>
      <c r="R298" t="s">
        <v>74</v>
      </c>
      <c r="S298" t="s">
        <v>74</v>
      </c>
      <c r="T298" t="s">
        <v>74</v>
      </c>
      <c r="U298" t="s">
        <v>4225</v>
      </c>
      <c r="V298" t="s">
        <v>4226</v>
      </c>
      <c r="W298" t="s">
        <v>4227</v>
      </c>
      <c r="X298" t="s">
        <v>164</v>
      </c>
      <c r="Y298" t="s">
        <v>4228</v>
      </c>
      <c r="Z298" t="s">
        <v>74</v>
      </c>
      <c r="AA298" t="s">
        <v>74</v>
      </c>
      <c r="AB298" t="s">
        <v>4229</v>
      </c>
      <c r="AC298" t="s">
        <v>74</v>
      </c>
      <c r="AD298" t="s">
        <v>74</v>
      </c>
      <c r="AE298" t="s">
        <v>74</v>
      </c>
      <c r="AF298" t="s">
        <v>74</v>
      </c>
      <c r="AG298">
        <v>36</v>
      </c>
      <c r="AH298">
        <v>24</v>
      </c>
      <c r="AI298">
        <v>37</v>
      </c>
      <c r="AJ298">
        <v>1</v>
      </c>
      <c r="AK298">
        <v>38</v>
      </c>
      <c r="AL298" t="s">
        <v>588</v>
      </c>
      <c r="AM298" t="s">
        <v>589</v>
      </c>
      <c r="AN298" t="s">
        <v>590</v>
      </c>
      <c r="AO298" t="s">
        <v>591</v>
      </c>
      <c r="AP298" t="s">
        <v>74</v>
      </c>
      <c r="AQ298" t="s">
        <v>74</v>
      </c>
      <c r="AR298" t="s">
        <v>593</v>
      </c>
      <c r="AS298" t="s">
        <v>594</v>
      </c>
      <c r="AT298" t="s">
        <v>4100</v>
      </c>
      <c r="AU298">
        <v>1999</v>
      </c>
      <c r="AV298">
        <v>31</v>
      </c>
      <c r="AW298">
        <v>3</v>
      </c>
      <c r="AX298" t="s">
        <v>74</v>
      </c>
      <c r="AY298" t="s">
        <v>74</v>
      </c>
      <c r="AZ298" t="s">
        <v>74</v>
      </c>
      <c r="BA298" t="s">
        <v>74</v>
      </c>
      <c r="BB298">
        <v>264</v>
      </c>
      <c r="BC298">
        <v>271</v>
      </c>
      <c r="BD298" t="s">
        <v>74</v>
      </c>
      <c r="BE298" t="s">
        <v>4230</v>
      </c>
      <c r="BF298" t="str">
        <f>HYPERLINK("http://dx.doi.org/10.2307/1552256","http://dx.doi.org/10.2307/1552256")</f>
        <v>http://dx.doi.org/10.2307/1552256</v>
      </c>
      <c r="BG298" t="s">
        <v>74</v>
      </c>
      <c r="BH298" t="s">
        <v>74</v>
      </c>
      <c r="BI298">
        <v>8</v>
      </c>
      <c r="BJ298" t="s">
        <v>596</v>
      </c>
      <c r="BK298" t="s">
        <v>96</v>
      </c>
      <c r="BL298" t="s">
        <v>597</v>
      </c>
      <c r="BM298" t="s">
        <v>4155</v>
      </c>
      <c r="BN298" t="s">
        <v>74</v>
      </c>
      <c r="BO298" t="s">
        <v>74</v>
      </c>
      <c r="BP298" t="s">
        <v>74</v>
      </c>
      <c r="BQ298" t="s">
        <v>74</v>
      </c>
      <c r="BR298" t="s">
        <v>99</v>
      </c>
      <c r="BS298" t="s">
        <v>4231</v>
      </c>
      <c r="BT298" t="str">
        <f>HYPERLINK("https%3A%2F%2Fwww.webofscience.com%2Fwos%2Fwoscc%2Ffull-record%2FWOS:000082058400008","View Full Record in Web of Science")</f>
        <v>View Full Record in Web of Science</v>
      </c>
    </row>
    <row r="299" spans="1:72" x14ac:dyDescent="0.15">
      <c r="A299" t="s">
        <v>72</v>
      </c>
      <c r="B299" t="s">
        <v>4232</v>
      </c>
      <c r="C299" t="s">
        <v>74</v>
      </c>
      <c r="D299" t="s">
        <v>74</v>
      </c>
      <c r="E299" t="s">
        <v>74</v>
      </c>
      <c r="F299" t="s">
        <v>4232</v>
      </c>
      <c r="G299" t="s">
        <v>74</v>
      </c>
      <c r="H299" t="s">
        <v>74</v>
      </c>
      <c r="I299" t="s">
        <v>4233</v>
      </c>
      <c r="J299" t="s">
        <v>579</v>
      </c>
      <c r="K299" t="s">
        <v>74</v>
      </c>
      <c r="L299" t="s">
        <v>74</v>
      </c>
      <c r="M299" t="s">
        <v>77</v>
      </c>
      <c r="N299" t="s">
        <v>78</v>
      </c>
      <c r="O299" t="s">
        <v>74</v>
      </c>
      <c r="P299" t="s">
        <v>74</v>
      </c>
      <c r="Q299" t="s">
        <v>74</v>
      </c>
      <c r="R299" t="s">
        <v>74</v>
      </c>
      <c r="S299" t="s">
        <v>74</v>
      </c>
      <c r="T299" t="s">
        <v>74</v>
      </c>
      <c r="U299" t="s">
        <v>4234</v>
      </c>
      <c r="V299" t="s">
        <v>4235</v>
      </c>
      <c r="W299" t="s">
        <v>4236</v>
      </c>
      <c r="X299" t="s">
        <v>4237</v>
      </c>
      <c r="Y299" t="s">
        <v>4238</v>
      </c>
      <c r="Z299" t="s">
        <v>4239</v>
      </c>
      <c r="AA299" t="s">
        <v>4240</v>
      </c>
      <c r="AB299" t="s">
        <v>74</v>
      </c>
      <c r="AC299" t="s">
        <v>74</v>
      </c>
      <c r="AD299" t="s">
        <v>74</v>
      </c>
      <c r="AE299" t="s">
        <v>74</v>
      </c>
      <c r="AF299" t="s">
        <v>74</v>
      </c>
      <c r="AG299">
        <v>42</v>
      </c>
      <c r="AH299">
        <v>42</v>
      </c>
      <c r="AI299">
        <v>50</v>
      </c>
      <c r="AJ299">
        <v>4</v>
      </c>
      <c r="AK299">
        <v>39</v>
      </c>
      <c r="AL299" t="s">
        <v>588</v>
      </c>
      <c r="AM299" t="s">
        <v>589</v>
      </c>
      <c r="AN299" t="s">
        <v>590</v>
      </c>
      <c r="AO299" t="s">
        <v>591</v>
      </c>
      <c r="AP299" t="s">
        <v>592</v>
      </c>
      <c r="AQ299" t="s">
        <v>74</v>
      </c>
      <c r="AR299" t="s">
        <v>593</v>
      </c>
      <c r="AS299" t="s">
        <v>594</v>
      </c>
      <c r="AT299" t="s">
        <v>4100</v>
      </c>
      <c r="AU299">
        <v>1999</v>
      </c>
      <c r="AV299">
        <v>31</v>
      </c>
      <c r="AW299">
        <v>3</v>
      </c>
      <c r="AX299" t="s">
        <v>74</v>
      </c>
      <c r="AY299" t="s">
        <v>74</v>
      </c>
      <c r="AZ299" t="s">
        <v>74</v>
      </c>
      <c r="BA299" t="s">
        <v>74</v>
      </c>
      <c r="BB299">
        <v>272</v>
      </c>
      <c r="BC299">
        <v>277</v>
      </c>
      <c r="BD299" t="s">
        <v>74</v>
      </c>
      <c r="BE299" t="s">
        <v>4241</v>
      </c>
      <c r="BF299" t="str">
        <f>HYPERLINK("http://dx.doi.org/10.2307/1552257","http://dx.doi.org/10.2307/1552257")</f>
        <v>http://dx.doi.org/10.2307/1552257</v>
      </c>
      <c r="BG299" t="s">
        <v>74</v>
      </c>
      <c r="BH299" t="s">
        <v>74</v>
      </c>
      <c r="BI299">
        <v>6</v>
      </c>
      <c r="BJ299" t="s">
        <v>596</v>
      </c>
      <c r="BK299" t="s">
        <v>96</v>
      </c>
      <c r="BL299" t="s">
        <v>597</v>
      </c>
      <c r="BM299" t="s">
        <v>4155</v>
      </c>
      <c r="BN299" t="s">
        <v>74</v>
      </c>
      <c r="BO299" t="s">
        <v>74</v>
      </c>
      <c r="BP299" t="s">
        <v>74</v>
      </c>
      <c r="BQ299" t="s">
        <v>74</v>
      </c>
      <c r="BR299" t="s">
        <v>99</v>
      </c>
      <c r="BS299" t="s">
        <v>4242</v>
      </c>
      <c r="BT299" t="str">
        <f>HYPERLINK("https%3A%2F%2Fwww.webofscience.com%2Fwos%2Fwoscc%2Ffull-record%2FWOS:000082058400009","View Full Record in Web of Science")</f>
        <v>View Full Record in Web of Science</v>
      </c>
    </row>
    <row r="300" spans="1:72" x14ac:dyDescent="0.15">
      <c r="A300" t="s">
        <v>72</v>
      </c>
      <c r="B300" t="s">
        <v>4243</v>
      </c>
      <c r="C300" t="s">
        <v>74</v>
      </c>
      <c r="D300" t="s">
        <v>74</v>
      </c>
      <c r="E300" t="s">
        <v>74</v>
      </c>
      <c r="F300" t="s">
        <v>4243</v>
      </c>
      <c r="G300" t="s">
        <v>74</v>
      </c>
      <c r="H300" t="s">
        <v>74</v>
      </c>
      <c r="I300" t="s">
        <v>4244</v>
      </c>
      <c r="J300" t="s">
        <v>579</v>
      </c>
      <c r="K300" t="s">
        <v>74</v>
      </c>
      <c r="L300" t="s">
        <v>74</v>
      </c>
      <c r="M300" t="s">
        <v>77</v>
      </c>
      <c r="N300" t="s">
        <v>78</v>
      </c>
      <c r="O300" t="s">
        <v>74</v>
      </c>
      <c r="P300" t="s">
        <v>74</v>
      </c>
      <c r="Q300" t="s">
        <v>74</v>
      </c>
      <c r="R300" t="s">
        <v>74</v>
      </c>
      <c r="S300" t="s">
        <v>74</v>
      </c>
      <c r="T300" t="s">
        <v>74</v>
      </c>
      <c r="U300" t="s">
        <v>74</v>
      </c>
      <c r="V300" t="s">
        <v>4245</v>
      </c>
      <c r="W300" t="s">
        <v>4246</v>
      </c>
      <c r="X300" t="s">
        <v>4247</v>
      </c>
      <c r="Y300" t="s">
        <v>4248</v>
      </c>
      <c r="Z300" t="s">
        <v>74</v>
      </c>
      <c r="AA300" t="s">
        <v>74</v>
      </c>
      <c r="AB300" t="s">
        <v>74</v>
      </c>
      <c r="AC300" t="s">
        <v>74</v>
      </c>
      <c r="AD300" t="s">
        <v>74</v>
      </c>
      <c r="AE300" t="s">
        <v>74</v>
      </c>
      <c r="AF300" t="s">
        <v>74</v>
      </c>
      <c r="AG300">
        <v>31</v>
      </c>
      <c r="AH300">
        <v>4</v>
      </c>
      <c r="AI300">
        <v>5</v>
      </c>
      <c r="AJ300">
        <v>0</v>
      </c>
      <c r="AK300">
        <v>8</v>
      </c>
      <c r="AL300" t="s">
        <v>588</v>
      </c>
      <c r="AM300" t="s">
        <v>589</v>
      </c>
      <c r="AN300" t="s">
        <v>590</v>
      </c>
      <c r="AO300" t="s">
        <v>591</v>
      </c>
      <c r="AP300" t="s">
        <v>74</v>
      </c>
      <c r="AQ300" t="s">
        <v>74</v>
      </c>
      <c r="AR300" t="s">
        <v>593</v>
      </c>
      <c r="AS300" t="s">
        <v>594</v>
      </c>
      <c r="AT300" t="s">
        <v>4100</v>
      </c>
      <c r="AU300">
        <v>1999</v>
      </c>
      <c r="AV300">
        <v>31</v>
      </c>
      <c r="AW300">
        <v>3</v>
      </c>
      <c r="AX300" t="s">
        <v>74</v>
      </c>
      <c r="AY300" t="s">
        <v>74</v>
      </c>
      <c r="AZ300" t="s">
        <v>74</v>
      </c>
      <c r="BA300" t="s">
        <v>74</v>
      </c>
      <c r="BB300">
        <v>278</v>
      </c>
      <c r="BC300">
        <v>282</v>
      </c>
      <c r="BD300" t="s">
        <v>74</v>
      </c>
      <c r="BE300" t="s">
        <v>4249</v>
      </c>
      <c r="BF300" t="str">
        <f>HYPERLINK("http://dx.doi.org/10.2307/1552258","http://dx.doi.org/10.2307/1552258")</f>
        <v>http://dx.doi.org/10.2307/1552258</v>
      </c>
      <c r="BG300" t="s">
        <v>74</v>
      </c>
      <c r="BH300" t="s">
        <v>74</v>
      </c>
      <c r="BI300">
        <v>5</v>
      </c>
      <c r="BJ300" t="s">
        <v>596</v>
      </c>
      <c r="BK300" t="s">
        <v>96</v>
      </c>
      <c r="BL300" t="s">
        <v>597</v>
      </c>
      <c r="BM300" t="s">
        <v>4155</v>
      </c>
      <c r="BN300" t="s">
        <v>74</v>
      </c>
      <c r="BO300" t="s">
        <v>74</v>
      </c>
      <c r="BP300" t="s">
        <v>74</v>
      </c>
      <c r="BQ300" t="s">
        <v>74</v>
      </c>
      <c r="BR300" t="s">
        <v>99</v>
      </c>
      <c r="BS300" t="s">
        <v>4250</v>
      </c>
      <c r="BT300" t="str">
        <f>HYPERLINK("https%3A%2F%2Fwww.webofscience.com%2Fwos%2Fwoscc%2Ffull-record%2FWOS:000082058400010","View Full Record in Web of Science")</f>
        <v>View Full Record in Web of Science</v>
      </c>
    </row>
    <row r="301" spans="1:72" x14ac:dyDescent="0.15">
      <c r="A301" t="s">
        <v>72</v>
      </c>
      <c r="B301" t="s">
        <v>4251</v>
      </c>
      <c r="C301" t="s">
        <v>74</v>
      </c>
      <c r="D301" t="s">
        <v>74</v>
      </c>
      <c r="E301" t="s">
        <v>74</v>
      </c>
      <c r="F301" t="s">
        <v>4251</v>
      </c>
      <c r="G301" t="s">
        <v>74</v>
      </c>
      <c r="H301" t="s">
        <v>74</v>
      </c>
      <c r="I301" t="s">
        <v>4252</v>
      </c>
      <c r="J301" t="s">
        <v>579</v>
      </c>
      <c r="K301" t="s">
        <v>74</v>
      </c>
      <c r="L301" t="s">
        <v>74</v>
      </c>
      <c r="M301" t="s">
        <v>77</v>
      </c>
      <c r="N301" t="s">
        <v>78</v>
      </c>
      <c r="O301" t="s">
        <v>74</v>
      </c>
      <c r="P301" t="s">
        <v>74</v>
      </c>
      <c r="Q301" t="s">
        <v>74</v>
      </c>
      <c r="R301" t="s">
        <v>74</v>
      </c>
      <c r="S301" t="s">
        <v>74</v>
      </c>
      <c r="T301" t="s">
        <v>74</v>
      </c>
      <c r="U301" t="s">
        <v>4253</v>
      </c>
      <c r="V301" t="s">
        <v>4254</v>
      </c>
      <c r="W301" t="s">
        <v>4255</v>
      </c>
      <c r="X301" t="s">
        <v>4256</v>
      </c>
      <c r="Y301" t="s">
        <v>4257</v>
      </c>
      <c r="Z301" t="s">
        <v>74</v>
      </c>
      <c r="AA301" t="s">
        <v>4258</v>
      </c>
      <c r="AB301" t="s">
        <v>4259</v>
      </c>
      <c r="AC301" t="s">
        <v>74</v>
      </c>
      <c r="AD301" t="s">
        <v>74</v>
      </c>
      <c r="AE301" t="s">
        <v>74</v>
      </c>
      <c r="AF301" t="s">
        <v>74</v>
      </c>
      <c r="AG301">
        <v>40</v>
      </c>
      <c r="AH301">
        <v>22</v>
      </c>
      <c r="AI301">
        <v>23</v>
      </c>
      <c r="AJ301">
        <v>1</v>
      </c>
      <c r="AK301">
        <v>18</v>
      </c>
      <c r="AL301" t="s">
        <v>588</v>
      </c>
      <c r="AM301" t="s">
        <v>589</v>
      </c>
      <c r="AN301" t="s">
        <v>590</v>
      </c>
      <c r="AO301" t="s">
        <v>591</v>
      </c>
      <c r="AP301" t="s">
        <v>74</v>
      </c>
      <c r="AQ301" t="s">
        <v>74</v>
      </c>
      <c r="AR301" t="s">
        <v>593</v>
      </c>
      <c r="AS301" t="s">
        <v>594</v>
      </c>
      <c r="AT301" t="s">
        <v>4100</v>
      </c>
      <c r="AU301">
        <v>1999</v>
      </c>
      <c r="AV301">
        <v>31</v>
      </c>
      <c r="AW301">
        <v>3</v>
      </c>
      <c r="AX301" t="s">
        <v>74</v>
      </c>
      <c r="AY301" t="s">
        <v>74</v>
      </c>
      <c r="AZ301" t="s">
        <v>74</v>
      </c>
      <c r="BA301" t="s">
        <v>74</v>
      </c>
      <c r="BB301">
        <v>283</v>
      </c>
      <c r="BC301">
        <v>292</v>
      </c>
      <c r="BD301" t="s">
        <v>74</v>
      </c>
      <c r="BE301" t="s">
        <v>4260</v>
      </c>
      <c r="BF301" t="str">
        <f>HYPERLINK("http://dx.doi.org/10.2307/1552259","http://dx.doi.org/10.2307/1552259")</f>
        <v>http://dx.doi.org/10.2307/1552259</v>
      </c>
      <c r="BG301" t="s">
        <v>74</v>
      </c>
      <c r="BH301" t="s">
        <v>74</v>
      </c>
      <c r="BI301">
        <v>10</v>
      </c>
      <c r="BJ301" t="s">
        <v>596</v>
      </c>
      <c r="BK301" t="s">
        <v>96</v>
      </c>
      <c r="BL301" t="s">
        <v>597</v>
      </c>
      <c r="BM301" t="s">
        <v>4155</v>
      </c>
      <c r="BN301" t="s">
        <v>74</v>
      </c>
      <c r="BO301" t="s">
        <v>74</v>
      </c>
      <c r="BP301" t="s">
        <v>74</v>
      </c>
      <c r="BQ301" t="s">
        <v>74</v>
      </c>
      <c r="BR301" t="s">
        <v>99</v>
      </c>
      <c r="BS301" t="s">
        <v>4261</v>
      </c>
      <c r="BT301" t="str">
        <f>HYPERLINK("https%3A%2F%2Fwww.webofscience.com%2Fwos%2Fwoscc%2Ffull-record%2FWOS:000082058400011","View Full Record in Web of Science")</f>
        <v>View Full Record in Web of Science</v>
      </c>
    </row>
    <row r="302" spans="1:72" x14ac:dyDescent="0.15">
      <c r="A302" t="s">
        <v>72</v>
      </c>
      <c r="B302" t="s">
        <v>4262</v>
      </c>
      <c r="C302" t="s">
        <v>74</v>
      </c>
      <c r="D302" t="s">
        <v>74</v>
      </c>
      <c r="E302" t="s">
        <v>74</v>
      </c>
      <c r="F302" t="s">
        <v>4262</v>
      </c>
      <c r="G302" t="s">
        <v>74</v>
      </c>
      <c r="H302" t="s">
        <v>74</v>
      </c>
      <c r="I302" t="s">
        <v>4263</v>
      </c>
      <c r="J302" t="s">
        <v>579</v>
      </c>
      <c r="K302" t="s">
        <v>74</v>
      </c>
      <c r="L302" t="s">
        <v>74</v>
      </c>
      <c r="M302" t="s">
        <v>77</v>
      </c>
      <c r="N302" t="s">
        <v>78</v>
      </c>
      <c r="O302" t="s">
        <v>74</v>
      </c>
      <c r="P302" t="s">
        <v>74</v>
      </c>
      <c r="Q302" t="s">
        <v>74</v>
      </c>
      <c r="R302" t="s">
        <v>74</v>
      </c>
      <c r="S302" t="s">
        <v>74</v>
      </c>
      <c r="T302" t="s">
        <v>74</v>
      </c>
      <c r="U302" t="s">
        <v>4264</v>
      </c>
      <c r="V302" t="s">
        <v>4265</v>
      </c>
      <c r="W302" t="s">
        <v>4266</v>
      </c>
      <c r="X302" t="s">
        <v>4267</v>
      </c>
      <c r="Y302" t="s">
        <v>4268</v>
      </c>
      <c r="Z302" t="s">
        <v>74</v>
      </c>
      <c r="AA302" t="s">
        <v>4269</v>
      </c>
      <c r="AB302" t="s">
        <v>4270</v>
      </c>
      <c r="AC302" t="s">
        <v>74</v>
      </c>
      <c r="AD302" t="s">
        <v>74</v>
      </c>
      <c r="AE302" t="s">
        <v>74</v>
      </c>
      <c r="AF302" t="s">
        <v>74</v>
      </c>
      <c r="AG302">
        <v>33</v>
      </c>
      <c r="AH302">
        <v>6</v>
      </c>
      <c r="AI302">
        <v>9</v>
      </c>
      <c r="AJ302">
        <v>1</v>
      </c>
      <c r="AK302">
        <v>5</v>
      </c>
      <c r="AL302" t="s">
        <v>588</v>
      </c>
      <c r="AM302" t="s">
        <v>589</v>
      </c>
      <c r="AN302" t="s">
        <v>590</v>
      </c>
      <c r="AO302" t="s">
        <v>591</v>
      </c>
      <c r="AP302" t="s">
        <v>74</v>
      </c>
      <c r="AQ302" t="s">
        <v>74</v>
      </c>
      <c r="AR302" t="s">
        <v>593</v>
      </c>
      <c r="AS302" t="s">
        <v>594</v>
      </c>
      <c r="AT302" t="s">
        <v>4100</v>
      </c>
      <c r="AU302">
        <v>1999</v>
      </c>
      <c r="AV302">
        <v>31</v>
      </c>
      <c r="AW302">
        <v>3</v>
      </c>
      <c r="AX302" t="s">
        <v>74</v>
      </c>
      <c r="AY302" t="s">
        <v>74</v>
      </c>
      <c r="AZ302" t="s">
        <v>74</v>
      </c>
      <c r="BA302" t="s">
        <v>74</v>
      </c>
      <c r="BB302">
        <v>293</v>
      </c>
      <c r="BC302">
        <v>302</v>
      </c>
      <c r="BD302" t="s">
        <v>74</v>
      </c>
      <c r="BE302" t="s">
        <v>4271</v>
      </c>
      <c r="BF302" t="str">
        <f>HYPERLINK("http://dx.doi.org/10.2307/1552260","http://dx.doi.org/10.2307/1552260")</f>
        <v>http://dx.doi.org/10.2307/1552260</v>
      </c>
      <c r="BG302" t="s">
        <v>74</v>
      </c>
      <c r="BH302" t="s">
        <v>74</v>
      </c>
      <c r="BI302">
        <v>10</v>
      </c>
      <c r="BJ302" t="s">
        <v>596</v>
      </c>
      <c r="BK302" t="s">
        <v>96</v>
      </c>
      <c r="BL302" t="s">
        <v>597</v>
      </c>
      <c r="BM302" t="s">
        <v>4155</v>
      </c>
      <c r="BN302" t="s">
        <v>74</v>
      </c>
      <c r="BO302" t="s">
        <v>74</v>
      </c>
      <c r="BP302" t="s">
        <v>74</v>
      </c>
      <c r="BQ302" t="s">
        <v>74</v>
      </c>
      <c r="BR302" t="s">
        <v>99</v>
      </c>
      <c r="BS302" t="s">
        <v>4272</v>
      </c>
      <c r="BT302" t="str">
        <f>HYPERLINK("https%3A%2F%2Fwww.webofscience.com%2Fwos%2Fwoscc%2Ffull-record%2FWOS:000082058400012","View Full Record in Web of Science")</f>
        <v>View Full Record in Web of Science</v>
      </c>
    </row>
    <row r="303" spans="1:72" x14ac:dyDescent="0.15">
      <c r="A303" t="s">
        <v>72</v>
      </c>
      <c r="B303" t="s">
        <v>4273</v>
      </c>
      <c r="C303" t="s">
        <v>74</v>
      </c>
      <c r="D303" t="s">
        <v>74</v>
      </c>
      <c r="E303" t="s">
        <v>74</v>
      </c>
      <c r="F303" t="s">
        <v>4273</v>
      </c>
      <c r="G303" t="s">
        <v>74</v>
      </c>
      <c r="H303" t="s">
        <v>74</v>
      </c>
      <c r="I303" t="s">
        <v>4274</v>
      </c>
      <c r="J303" t="s">
        <v>579</v>
      </c>
      <c r="K303" t="s">
        <v>74</v>
      </c>
      <c r="L303" t="s">
        <v>74</v>
      </c>
      <c r="M303" t="s">
        <v>77</v>
      </c>
      <c r="N303" t="s">
        <v>78</v>
      </c>
      <c r="O303" t="s">
        <v>74</v>
      </c>
      <c r="P303" t="s">
        <v>74</v>
      </c>
      <c r="Q303" t="s">
        <v>74</v>
      </c>
      <c r="R303" t="s">
        <v>74</v>
      </c>
      <c r="S303" t="s">
        <v>74</v>
      </c>
      <c r="T303" t="s">
        <v>74</v>
      </c>
      <c r="U303" t="s">
        <v>4275</v>
      </c>
      <c r="V303" t="s">
        <v>4276</v>
      </c>
      <c r="W303" t="s">
        <v>4277</v>
      </c>
      <c r="X303" t="s">
        <v>4278</v>
      </c>
      <c r="Y303" t="s">
        <v>4279</v>
      </c>
      <c r="Z303" t="s">
        <v>74</v>
      </c>
      <c r="AA303" t="s">
        <v>74</v>
      </c>
      <c r="AB303" t="s">
        <v>74</v>
      </c>
      <c r="AC303" t="s">
        <v>74</v>
      </c>
      <c r="AD303" t="s">
        <v>74</v>
      </c>
      <c r="AE303" t="s">
        <v>74</v>
      </c>
      <c r="AF303" t="s">
        <v>74</v>
      </c>
      <c r="AG303">
        <v>34</v>
      </c>
      <c r="AH303">
        <v>15</v>
      </c>
      <c r="AI303">
        <v>19</v>
      </c>
      <c r="AJ303">
        <v>0</v>
      </c>
      <c r="AK303">
        <v>5</v>
      </c>
      <c r="AL303" t="s">
        <v>588</v>
      </c>
      <c r="AM303" t="s">
        <v>589</v>
      </c>
      <c r="AN303" t="s">
        <v>590</v>
      </c>
      <c r="AO303" t="s">
        <v>591</v>
      </c>
      <c r="AP303" t="s">
        <v>74</v>
      </c>
      <c r="AQ303" t="s">
        <v>74</v>
      </c>
      <c r="AR303" t="s">
        <v>593</v>
      </c>
      <c r="AS303" t="s">
        <v>594</v>
      </c>
      <c r="AT303" t="s">
        <v>4100</v>
      </c>
      <c r="AU303">
        <v>1999</v>
      </c>
      <c r="AV303">
        <v>31</v>
      </c>
      <c r="AW303">
        <v>3</v>
      </c>
      <c r="AX303" t="s">
        <v>74</v>
      </c>
      <c r="AY303" t="s">
        <v>74</v>
      </c>
      <c r="AZ303" t="s">
        <v>74</v>
      </c>
      <c r="BA303" t="s">
        <v>74</v>
      </c>
      <c r="BB303">
        <v>303</v>
      </c>
      <c r="BC303">
        <v>311</v>
      </c>
      <c r="BD303" t="s">
        <v>74</v>
      </c>
      <c r="BE303" t="s">
        <v>4280</v>
      </c>
      <c r="BF303" t="str">
        <f>HYPERLINK("http://dx.doi.org/10.2307/1552261","http://dx.doi.org/10.2307/1552261")</f>
        <v>http://dx.doi.org/10.2307/1552261</v>
      </c>
      <c r="BG303" t="s">
        <v>74</v>
      </c>
      <c r="BH303" t="s">
        <v>74</v>
      </c>
      <c r="BI303">
        <v>9</v>
      </c>
      <c r="BJ303" t="s">
        <v>596</v>
      </c>
      <c r="BK303" t="s">
        <v>96</v>
      </c>
      <c r="BL303" t="s">
        <v>597</v>
      </c>
      <c r="BM303" t="s">
        <v>4155</v>
      </c>
      <c r="BN303" t="s">
        <v>74</v>
      </c>
      <c r="BO303" t="s">
        <v>74</v>
      </c>
      <c r="BP303" t="s">
        <v>74</v>
      </c>
      <c r="BQ303" t="s">
        <v>74</v>
      </c>
      <c r="BR303" t="s">
        <v>99</v>
      </c>
      <c r="BS303" t="s">
        <v>4281</v>
      </c>
      <c r="BT303" t="str">
        <f>HYPERLINK("https%3A%2F%2Fwww.webofscience.com%2Fwos%2Fwoscc%2Ffull-record%2FWOS:000082058400013","View Full Record in Web of Science")</f>
        <v>View Full Record in Web of Science</v>
      </c>
    </row>
    <row r="304" spans="1:72" x14ac:dyDescent="0.15">
      <c r="A304" t="s">
        <v>72</v>
      </c>
      <c r="B304" t="s">
        <v>4282</v>
      </c>
      <c r="C304" t="s">
        <v>74</v>
      </c>
      <c r="D304" t="s">
        <v>74</v>
      </c>
      <c r="E304" t="s">
        <v>74</v>
      </c>
      <c r="F304" t="s">
        <v>4282</v>
      </c>
      <c r="G304" t="s">
        <v>74</v>
      </c>
      <c r="H304" t="s">
        <v>74</v>
      </c>
      <c r="I304" t="s">
        <v>4283</v>
      </c>
      <c r="J304" t="s">
        <v>579</v>
      </c>
      <c r="K304" t="s">
        <v>74</v>
      </c>
      <c r="L304" t="s">
        <v>74</v>
      </c>
      <c r="M304" t="s">
        <v>77</v>
      </c>
      <c r="N304" t="s">
        <v>78</v>
      </c>
      <c r="O304" t="s">
        <v>74</v>
      </c>
      <c r="P304" t="s">
        <v>74</v>
      </c>
      <c r="Q304" t="s">
        <v>74</v>
      </c>
      <c r="R304" t="s">
        <v>74</v>
      </c>
      <c r="S304" t="s">
        <v>74</v>
      </c>
      <c r="T304" t="s">
        <v>74</v>
      </c>
      <c r="U304" t="s">
        <v>4284</v>
      </c>
      <c r="V304" t="s">
        <v>4285</v>
      </c>
      <c r="W304" t="s">
        <v>4286</v>
      </c>
      <c r="X304" t="s">
        <v>4287</v>
      </c>
      <c r="Y304" t="s">
        <v>4288</v>
      </c>
      <c r="Z304" t="s">
        <v>74</v>
      </c>
      <c r="AA304" t="s">
        <v>4289</v>
      </c>
      <c r="AB304" t="s">
        <v>4290</v>
      </c>
      <c r="AC304" t="s">
        <v>74</v>
      </c>
      <c r="AD304" t="s">
        <v>74</v>
      </c>
      <c r="AE304" t="s">
        <v>74</v>
      </c>
      <c r="AF304" t="s">
        <v>74</v>
      </c>
      <c r="AG304">
        <v>18</v>
      </c>
      <c r="AH304">
        <v>16</v>
      </c>
      <c r="AI304">
        <v>17</v>
      </c>
      <c r="AJ304">
        <v>1</v>
      </c>
      <c r="AK304">
        <v>11</v>
      </c>
      <c r="AL304" t="s">
        <v>588</v>
      </c>
      <c r="AM304" t="s">
        <v>589</v>
      </c>
      <c r="AN304" t="s">
        <v>590</v>
      </c>
      <c r="AO304" t="s">
        <v>591</v>
      </c>
      <c r="AP304" t="s">
        <v>74</v>
      </c>
      <c r="AQ304" t="s">
        <v>74</v>
      </c>
      <c r="AR304" t="s">
        <v>593</v>
      </c>
      <c r="AS304" t="s">
        <v>594</v>
      </c>
      <c r="AT304" t="s">
        <v>4100</v>
      </c>
      <c r="AU304">
        <v>1999</v>
      </c>
      <c r="AV304">
        <v>31</v>
      </c>
      <c r="AW304">
        <v>3</v>
      </c>
      <c r="AX304" t="s">
        <v>74</v>
      </c>
      <c r="AY304" t="s">
        <v>74</v>
      </c>
      <c r="AZ304" t="s">
        <v>74</v>
      </c>
      <c r="BA304" t="s">
        <v>74</v>
      </c>
      <c r="BB304">
        <v>312</v>
      </c>
      <c r="BC304">
        <v>320</v>
      </c>
      <c r="BD304" t="s">
        <v>74</v>
      </c>
      <c r="BE304" t="s">
        <v>4291</v>
      </c>
      <c r="BF304" t="str">
        <f>HYPERLINK("http://dx.doi.org/10.2307/1552262","http://dx.doi.org/10.2307/1552262")</f>
        <v>http://dx.doi.org/10.2307/1552262</v>
      </c>
      <c r="BG304" t="s">
        <v>74</v>
      </c>
      <c r="BH304" t="s">
        <v>74</v>
      </c>
      <c r="BI304">
        <v>9</v>
      </c>
      <c r="BJ304" t="s">
        <v>596</v>
      </c>
      <c r="BK304" t="s">
        <v>96</v>
      </c>
      <c r="BL304" t="s">
        <v>597</v>
      </c>
      <c r="BM304" t="s">
        <v>4155</v>
      </c>
      <c r="BN304" t="s">
        <v>74</v>
      </c>
      <c r="BO304" t="s">
        <v>74</v>
      </c>
      <c r="BP304" t="s">
        <v>74</v>
      </c>
      <c r="BQ304" t="s">
        <v>74</v>
      </c>
      <c r="BR304" t="s">
        <v>99</v>
      </c>
      <c r="BS304" t="s">
        <v>4292</v>
      </c>
      <c r="BT304" t="str">
        <f>HYPERLINK("https%3A%2F%2Fwww.webofscience.com%2Fwos%2Fwoscc%2Ffull-record%2FWOS:000082058400014","View Full Record in Web of Science")</f>
        <v>View Full Record in Web of Science</v>
      </c>
    </row>
    <row r="305" spans="1:72" x14ac:dyDescent="0.15">
      <c r="A305" t="s">
        <v>72</v>
      </c>
      <c r="B305" t="s">
        <v>4293</v>
      </c>
      <c r="C305" t="s">
        <v>74</v>
      </c>
      <c r="D305" t="s">
        <v>74</v>
      </c>
      <c r="E305" t="s">
        <v>74</v>
      </c>
      <c r="F305" t="s">
        <v>4293</v>
      </c>
      <c r="G305" t="s">
        <v>74</v>
      </c>
      <c r="H305" t="s">
        <v>74</v>
      </c>
      <c r="I305" t="s">
        <v>4294</v>
      </c>
      <c r="J305" t="s">
        <v>579</v>
      </c>
      <c r="K305" t="s">
        <v>74</v>
      </c>
      <c r="L305" t="s">
        <v>74</v>
      </c>
      <c r="M305" t="s">
        <v>77</v>
      </c>
      <c r="N305" t="s">
        <v>78</v>
      </c>
      <c r="O305" t="s">
        <v>74</v>
      </c>
      <c r="P305" t="s">
        <v>74</v>
      </c>
      <c r="Q305" t="s">
        <v>74</v>
      </c>
      <c r="R305" t="s">
        <v>74</v>
      </c>
      <c r="S305" t="s">
        <v>74</v>
      </c>
      <c r="T305" t="s">
        <v>74</v>
      </c>
      <c r="U305" t="s">
        <v>74</v>
      </c>
      <c r="V305" t="s">
        <v>4295</v>
      </c>
      <c r="W305" t="s">
        <v>4296</v>
      </c>
      <c r="X305" t="s">
        <v>4297</v>
      </c>
      <c r="Y305" t="s">
        <v>4298</v>
      </c>
      <c r="Z305" t="s">
        <v>74</v>
      </c>
      <c r="AA305" t="s">
        <v>4299</v>
      </c>
      <c r="AB305" t="s">
        <v>74</v>
      </c>
      <c r="AC305" t="s">
        <v>74</v>
      </c>
      <c r="AD305" t="s">
        <v>74</v>
      </c>
      <c r="AE305" t="s">
        <v>74</v>
      </c>
      <c r="AF305" t="s">
        <v>74</v>
      </c>
      <c r="AG305">
        <v>16</v>
      </c>
      <c r="AH305">
        <v>28</v>
      </c>
      <c r="AI305">
        <v>28</v>
      </c>
      <c r="AJ305">
        <v>0</v>
      </c>
      <c r="AK305">
        <v>4</v>
      </c>
      <c r="AL305" t="s">
        <v>588</v>
      </c>
      <c r="AM305" t="s">
        <v>589</v>
      </c>
      <c r="AN305" t="s">
        <v>590</v>
      </c>
      <c r="AO305" t="s">
        <v>591</v>
      </c>
      <c r="AP305" t="s">
        <v>74</v>
      </c>
      <c r="AQ305" t="s">
        <v>74</v>
      </c>
      <c r="AR305" t="s">
        <v>593</v>
      </c>
      <c r="AS305" t="s">
        <v>594</v>
      </c>
      <c r="AT305" t="s">
        <v>4100</v>
      </c>
      <c r="AU305">
        <v>1999</v>
      </c>
      <c r="AV305">
        <v>31</v>
      </c>
      <c r="AW305">
        <v>3</v>
      </c>
      <c r="AX305" t="s">
        <v>74</v>
      </c>
      <c r="AY305" t="s">
        <v>74</v>
      </c>
      <c r="AZ305" t="s">
        <v>74</v>
      </c>
      <c r="BA305" t="s">
        <v>74</v>
      </c>
      <c r="BB305">
        <v>321</v>
      </c>
      <c r="BC305">
        <v>328</v>
      </c>
      <c r="BD305" t="s">
        <v>74</v>
      </c>
      <c r="BE305" t="s">
        <v>4300</v>
      </c>
      <c r="BF305" t="str">
        <f>HYPERLINK("http://dx.doi.org/10.2307/1552263","http://dx.doi.org/10.2307/1552263")</f>
        <v>http://dx.doi.org/10.2307/1552263</v>
      </c>
      <c r="BG305" t="s">
        <v>74</v>
      </c>
      <c r="BH305" t="s">
        <v>74</v>
      </c>
      <c r="BI305">
        <v>8</v>
      </c>
      <c r="BJ305" t="s">
        <v>596</v>
      </c>
      <c r="BK305" t="s">
        <v>96</v>
      </c>
      <c r="BL305" t="s">
        <v>597</v>
      </c>
      <c r="BM305" t="s">
        <v>4155</v>
      </c>
      <c r="BN305" t="s">
        <v>74</v>
      </c>
      <c r="BO305" t="s">
        <v>74</v>
      </c>
      <c r="BP305" t="s">
        <v>74</v>
      </c>
      <c r="BQ305" t="s">
        <v>74</v>
      </c>
      <c r="BR305" t="s">
        <v>99</v>
      </c>
      <c r="BS305" t="s">
        <v>4301</v>
      </c>
      <c r="BT305" t="str">
        <f>HYPERLINK("https%3A%2F%2Fwww.webofscience.com%2Fwos%2Fwoscc%2Ffull-record%2FWOS:000082058400015","View Full Record in Web of Science")</f>
        <v>View Full Record in Web of Science</v>
      </c>
    </row>
    <row r="306" spans="1:72" x14ac:dyDescent="0.15">
      <c r="A306" t="s">
        <v>72</v>
      </c>
      <c r="B306" t="s">
        <v>4302</v>
      </c>
      <c r="C306" t="s">
        <v>74</v>
      </c>
      <c r="D306" t="s">
        <v>74</v>
      </c>
      <c r="E306" t="s">
        <v>74</v>
      </c>
      <c r="F306" t="s">
        <v>4302</v>
      </c>
      <c r="G306" t="s">
        <v>74</v>
      </c>
      <c r="H306" t="s">
        <v>74</v>
      </c>
      <c r="I306" t="s">
        <v>4303</v>
      </c>
      <c r="J306" t="s">
        <v>579</v>
      </c>
      <c r="K306" t="s">
        <v>74</v>
      </c>
      <c r="L306" t="s">
        <v>74</v>
      </c>
      <c r="M306" t="s">
        <v>77</v>
      </c>
      <c r="N306" t="s">
        <v>4304</v>
      </c>
      <c r="O306" t="s">
        <v>74</v>
      </c>
      <c r="P306" t="s">
        <v>74</v>
      </c>
      <c r="Q306" t="s">
        <v>74</v>
      </c>
      <c r="R306" t="s">
        <v>74</v>
      </c>
      <c r="S306" t="s">
        <v>74</v>
      </c>
      <c r="T306" t="s">
        <v>74</v>
      </c>
      <c r="U306" t="s">
        <v>74</v>
      </c>
      <c r="V306" t="s">
        <v>74</v>
      </c>
      <c r="W306" t="s">
        <v>74</v>
      </c>
      <c r="X306" t="s">
        <v>74</v>
      </c>
      <c r="Y306" t="s">
        <v>74</v>
      </c>
      <c r="Z306" t="s">
        <v>74</v>
      </c>
      <c r="AA306" t="s">
        <v>74</v>
      </c>
      <c r="AB306" t="s">
        <v>74</v>
      </c>
      <c r="AC306" t="s">
        <v>74</v>
      </c>
      <c r="AD306" t="s">
        <v>74</v>
      </c>
      <c r="AE306" t="s">
        <v>74</v>
      </c>
      <c r="AF306" t="s">
        <v>74</v>
      </c>
      <c r="AG306">
        <v>1</v>
      </c>
      <c r="AH306">
        <v>1</v>
      </c>
      <c r="AI306">
        <v>1</v>
      </c>
      <c r="AJ306">
        <v>0</v>
      </c>
      <c r="AK306">
        <v>2</v>
      </c>
      <c r="AL306" t="s">
        <v>588</v>
      </c>
      <c r="AM306" t="s">
        <v>589</v>
      </c>
      <c r="AN306" t="s">
        <v>590</v>
      </c>
      <c r="AO306" t="s">
        <v>591</v>
      </c>
      <c r="AP306" t="s">
        <v>74</v>
      </c>
      <c r="AQ306" t="s">
        <v>74</v>
      </c>
      <c r="AR306" t="s">
        <v>593</v>
      </c>
      <c r="AS306" t="s">
        <v>594</v>
      </c>
      <c r="AT306" t="s">
        <v>4100</v>
      </c>
      <c r="AU306">
        <v>1999</v>
      </c>
      <c r="AV306">
        <v>31</v>
      </c>
      <c r="AW306">
        <v>3</v>
      </c>
      <c r="AX306" t="s">
        <v>74</v>
      </c>
      <c r="AY306" t="s">
        <v>74</v>
      </c>
      <c r="AZ306" t="s">
        <v>74</v>
      </c>
      <c r="BA306" t="s">
        <v>74</v>
      </c>
      <c r="BB306">
        <v>332</v>
      </c>
      <c r="BC306">
        <v>332</v>
      </c>
      <c r="BD306" t="s">
        <v>74</v>
      </c>
      <c r="BE306" t="s">
        <v>74</v>
      </c>
      <c r="BF306" t="s">
        <v>74</v>
      </c>
      <c r="BG306" t="s">
        <v>74</v>
      </c>
      <c r="BH306" t="s">
        <v>74</v>
      </c>
      <c r="BI306">
        <v>1</v>
      </c>
      <c r="BJ306" t="s">
        <v>596</v>
      </c>
      <c r="BK306" t="s">
        <v>96</v>
      </c>
      <c r="BL306" t="s">
        <v>597</v>
      </c>
      <c r="BM306" t="s">
        <v>4155</v>
      </c>
      <c r="BN306" t="s">
        <v>74</v>
      </c>
      <c r="BO306" t="s">
        <v>74</v>
      </c>
      <c r="BP306" t="s">
        <v>74</v>
      </c>
      <c r="BQ306" t="s">
        <v>74</v>
      </c>
      <c r="BR306" t="s">
        <v>99</v>
      </c>
      <c r="BS306" t="s">
        <v>4305</v>
      </c>
      <c r="BT306" t="str">
        <f>HYPERLINK("https%3A%2F%2Fwww.webofscience.com%2Fwos%2Fwoscc%2Ffull-record%2FWOS:000082058400016","View Full Record in Web of Science")</f>
        <v>View Full Record in Web of Science</v>
      </c>
    </row>
    <row r="307" spans="1:72" x14ac:dyDescent="0.15">
      <c r="A307" t="s">
        <v>72</v>
      </c>
      <c r="B307" t="s">
        <v>4306</v>
      </c>
      <c r="C307" t="s">
        <v>74</v>
      </c>
      <c r="D307" t="s">
        <v>74</v>
      </c>
      <c r="E307" t="s">
        <v>74</v>
      </c>
      <c r="F307" t="s">
        <v>4306</v>
      </c>
      <c r="G307" t="s">
        <v>74</v>
      </c>
      <c r="H307" t="s">
        <v>74</v>
      </c>
      <c r="I307" t="s">
        <v>4307</v>
      </c>
      <c r="J307" t="s">
        <v>4308</v>
      </c>
      <c r="K307" t="s">
        <v>74</v>
      </c>
      <c r="L307" t="s">
        <v>74</v>
      </c>
      <c r="M307" t="s">
        <v>77</v>
      </c>
      <c r="N307" t="s">
        <v>78</v>
      </c>
      <c r="O307" t="s">
        <v>74</v>
      </c>
      <c r="P307" t="s">
        <v>74</v>
      </c>
      <c r="Q307" t="s">
        <v>74</v>
      </c>
      <c r="R307" t="s">
        <v>74</v>
      </c>
      <c r="S307" t="s">
        <v>74</v>
      </c>
      <c r="T307" t="s">
        <v>4309</v>
      </c>
      <c r="U307" t="s">
        <v>4310</v>
      </c>
      <c r="V307" t="s">
        <v>4311</v>
      </c>
      <c r="W307" t="s">
        <v>4312</v>
      </c>
      <c r="X307" t="s">
        <v>4313</v>
      </c>
      <c r="Y307" t="s">
        <v>4314</v>
      </c>
      <c r="Z307" t="s">
        <v>4315</v>
      </c>
      <c r="AA307" t="s">
        <v>4316</v>
      </c>
      <c r="AB307" t="s">
        <v>74</v>
      </c>
      <c r="AC307" t="s">
        <v>74</v>
      </c>
      <c r="AD307" t="s">
        <v>74</v>
      </c>
      <c r="AE307" t="s">
        <v>74</v>
      </c>
      <c r="AF307" t="s">
        <v>74</v>
      </c>
      <c r="AG307">
        <v>57</v>
      </c>
      <c r="AH307">
        <v>32</v>
      </c>
      <c r="AI307">
        <v>33</v>
      </c>
      <c r="AJ307">
        <v>0</v>
      </c>
      <c r="AK307">
        <v>6</v>
      </c>
      <c r="AL307" t="s">
        <v>1978</v>
      </c>
      <c r="AM307" t="s">
        <v>554</v>
      </c>
      <c r="AN307" t="s">
        <v>1979</v>
      </c>
      <c r="AO307" t="s">
        <v>4317</v>
      </c>
      <c r="AP307" t="s">
        <v>4318</v>
      </c>
      <c r="AQ307" t="s">
        <v>74</v>
      </c>
      <c r="AR307" t="s">
        <v>4319</v>
      </c>
      <c r="AS307" t="s">
        <v>4320</v>
      </c>
      <c r="AT307" t="s">
        <v>4100</v>
      </c>
      <c r="AU307">
        <v>1999</v>
      </c>
      <c r="AV307">
        <v>52</v>
      </c>
      <c r="AW307" t="s">
        <v>1614</v>
      </c>
      <c r="AX307" t="s">
        <v>74</v>
      </c>
      <c r="AY307" t="s">
        <v>74</v>
      </c>
      <c r="AZ307" t="s">
        <v>74</v>
      </c>
      <c r="BA307" t="s">
        <v>74</v>
      </c>
      <c r="BB307">
        <v>77</v>
      </c>
      <c r="BC307">
        <v>113</v>
      </c>
      <c r="BD307" t="s">
        <v>74</v>
      </c>
      <c r="BE307" t="s">
        <v>4321</v>
      </c>
      <c r="BF307" t="str">
        <f>HYPERLINK("http://dx.doi.org/10.1016/S0169-8095(99)00028-9","http://dx.doi.org/10.1016/S0169-8095(99)00028-9")</f>
        <v>http://dx.doi.org/10.1016/S0169-8095(99)00028-9</v>
      </c>
      <c r="BG307" t="s">
        <v>74</v>
      </c>
      <c r="BH307" t="s">
        <v>74</v>
      </c>
      <c r="BI307">
        <v>37</v>
      </c>
      <c r="BJ307" t="s">
        <v>95</v>
      </c>
      <c r="BK307" t="s">
        <v>96</v>
      </c>
      <c r="BL307" t="s">
        <v>95</v>
      </c>
      <c r="BM307" t="s">
        <v>4322</v>
      </c>
      <c r="BN307" t="s">
        <v>74</v>
      </c>
      <c r="BO307" t="s">
        <v>1214</v>
      </c>
      <c r="BP307" t="s">
        <v>74</v>
      </c>
      <c r="BQ307" t="s">
        <v>74</v>
      </c>
      <c r="BR307" t="s">
        <v>99</v>
      </c>
      <c r="BS307" t="s">
        <v>4323</v>
      </c>
      <c r="BT307" t="str">
        <f>HYPERLINK("https%3A%2F%2Fwww.webofscience.com%2Fwos%2Fwoscc%2Ffull-record%2FWOS:000082753300005","View Full Record in Web of Science")</f>
        <v>View Full Record in Web of Science</v>
      </c>
    </row>
    <row r="308" spans="1:72" x14ac:dyDescent="0.15">
      <c r="A308" t="s">
        <v>72</v>
      </c>
      <c r="B308" t="s">
        <v>4324</v>
      </c>
      <c r="C308" t="s">
        <v>74</v>
      </c>
      <c r="D308" t="s">
        <v>74</v>
      </c>
      <c r="E308" t="s">
        <v>74</v>
      </c>
      <c r="F308" t="s">
        <v>4324</v>
      </c>
      <c r="G308" t="s">
        <v>74</v>
      </c>
      <c r="H308" t="s">
        <v>74</v>
      </c>
      <c r="I308" t="s">
        <v>4325</v>
      </c>
      <c r="J308" t="s">
        <v>4326</v>
      </c>
      <c r="K308" t="s">
        <v>74</v>
      </c>
      <c r="L308" t="s">
        <v>74</v>
      </c>
      <c r="M308" t="s">
        <v>77</v>
      </c>
      <c r="N308" t="s">
        <v>78</v>
      </c>
      <c r="O308" t="s">
        <v>74</v>
      </c>
      <c r="P308" t="s">
        <v>74</v>
      </c>
      <c r="Q308" t="s">
        <v>74</v>
      </c>
      <c r="R308" t="s">
        <v>74</v>
      </c>
      <c r="S308" t="s">
        <v>74</v>
      </c>
      <c r="T308" t="s">
        <v>4327</v>
      </c>
      <c r="U308" t="s">
        <v>4328</v>
      </c>
      <c r="V308" t="s">
        <v>4329</v>
      </c>
      <c r="W308" t="s">
        <v>4330</v>
      </c>
      <c r="X308" t="s">
        <v>4331</v>
      </c>
      <c r="Y308" t="s">
        <v>4332</v>
      </c>
      <c r="Z308" t="s">
        <v>74</v>
      </c>
      <c r="AA308" t="s">
        <v>4333</v>
      </c>
      <c r="AB308" t="s">
        <v>4334</v>
      </c>
      <c r="AC308" t="s">
        <v>74</v>
      </c>
      <c r="AD308" t="s">
        <v>74</v>
      </c>
      <c r="AE308" t="s">
        <v>74</v>
      </c>
      <c r="AF308" t="s">
        <v>74</v>
      </c>
      <c r="AG308">
        <v>28</v>
      </c>
      <c r="AH308">
        <v>7</v>
      </c>
      <c r="AI308">
        <v>7</v>
      </c>
      <c r="AJ308">
        <v>1</v>
      </c>
      <c r="AK308">
        <v>3</v>
      </c>
      <c r="AL308" t="s">
        <v>4335</v>
      </c>
      <c r="AM308" t="s">
        <v>4336</v>
      </c>
      <c r="AN308" t="s">
        <v>4337</v>
      </c>
      <c r="AO308" t="s">
        <v>4338</v>
      </c>
      <c r="AP308" t="s">
        <v>74</v>
      </c>
      <c r="AQ308" t="s">
        <v>74</v>
      </c>
      <c r="AR308" t="s">
        <v>4339</v>
      </c>
      <c r="AS308" t="s">
        <v>4340</v>
      </c>
      <c r="AT308" t="s">
        <v>4100</v>
      </c>
      <c r="AU308">
        <v>1999</v>
      </c>
      <c r="AV308">
        <v>46</v>
      </c>
      <c r="AW308">
        <v>4</v>
      </c>
      <c r="AX308" t="s">
        <v>74</v>
      </c>
      <c r="AY308" t="s">
        <v>74</v>
      </c>
      <c r="AZ308" t="s">
        <v>74</v>
      </c>
      <c r="BA308" t="s">
        <v>74</v>
      </c>
      <c r="BB308">
        <v>577</v>
      </c>
      <c r="BC308">
        <v>591</v>
      </c>
      <c r="BD308" t="s">
        <v>74</v>
      </c>
      <c r="BE308" t="s">
        <v>4341</v>
      </c>
      <c r="BF308" t="str">
        <f>HYPERLINK("http://dx.doi.org/10.1046/j.1440-0952.1999.00730.x","http://dx.doi.org/10.1046/j.1440-0952.1999.00730.x")</f>
        <v>http://dx.doi.org/10.1046/j.1440-0952.1999.00730.x</v>
      </c>
      <c r="BG308" t="s">
        <v>74</v>
      </c>
      <c r="BH308" t="s">
        <v>74</v>
      </c>
      <c r="BI308">
        <v>15</v>
      </c>
      <c r="BJ308" t="s">
        <v>387</v>
      </c>
      <c r="BK308" t="s">
        <v>96</v>
      </c>
      <c r="BL308" t="s">
        <v>388</v>
      </c>
      <c r="BM308" t="s">
        <v>4342</v>
      </c>
      <c r="BN308" t="s">
        <v>74</v>
      </c>
      <c r="BO308" t="s">
        <v>74</v>
      </c>
      <c r="BP308" t="s">
        <v>74</v>
      </c>
      <c r="BQ308" t="s">
        <v>74</v>
      </c>
      <c r="BR308" t="s">
        <v>99</v>
      </c>
      <c r="BS308" t="s">
        <v>4343</v>
      </c>
      <c r="BT308" t="str">
        <f>HYPERLINK("https%3A%2F%2Fwww.webofscience.com%2Fwos%2Fwoscc%2Ffull-record%2FWOS:000081839200009","View Full Record in Web of Science")</f>
        <v>View Full Record in Web of Science</v>
      </c>
    </row>
    <row r="309" spans="1:72" x14ac:dyDescent="0.15">
      <c r="A309" t="s">
        <v>72</v>
      </c>
      <c r="B309" t="s">
        <v>4344</v>
      </c>
      <c r="C309" t="s">
        <v>74</v>
      </c>
      <c r="D309" t="s">
        <v>74</v>
      </c>
      <c r="E309" t="s">
        <v>74</v>
      </c>
      <c r="F309" t="s">
        <v>4344</v>
      </c>
      <c r="G309" t="s">
        <v>74</v>
      </c>
      <c r="H309" t="s">
        <v>74</v>
      </c>
      <c r="I309" t="s">
        <v>4345</v>
      </c>
      <c r="J309" t="s">
        <v>4326</v>
      </c>
      <c r="K309" t="s">
        <v>74</v>
      </c>
      <c r="L309" t="s">
        <v>74</v>
      </c>
      <c r="M309" t="s">
        <v>77</v>
      </c>
      <c r="N309" t="s">
        <v>78</v>
      </c>
      <c r="O309" t="s">
        <v>74</v>
      </c>
      <c r="P309" t="s">
        <v>74</v>
      </c>
      <c r="Q309" t="s">
        <v>74</v>
      </c>
      <c r="R309" t="s">
        <v>74</v>
      </c>
      <c r="S309" t="s">
        <v>74</v>
      </c>
      <c r="T309" t="s">
        <v>4346</v>
      </c>
      <c r="U309" t="s">
        <v>4347</v>
      </c>
      <c r="V309" t="s">
        <v>4348</v>
      </c>
      <c r="W309" t="s">
        <v>4349</v>
      </c>
      <c r="X309" t="s">
        <v>4350</v>
      </c>
      <c r="Y309" t="s">
        <v>4351</v>
      </c>
      <c r="Z309" t="s">
        <v>74</v>
      </c>
      <c r="AA309" t="s">
        <v>4352</v>
      </c>
      <c r="AB309" t="s">
        <v>4353</v>
      </c>
      <c r="AC309" t="s">
        <v>74</v>
      </c>
      <c r="AD309" t="s">
        <v>74</v>
      </c>
      <c r="AE309" t="s">
        <v>74</v>
      </c>
      <c r="AF309" t="s">
        <v>74</v>
      </c>
      <c r="AG309">
        <v>40</v>
      </c>
      <c r="AH309">
        <v>33</v>
      </c>
      <c r="AI309">
        <v>36</v>
      </c>
      <c r="AJ309">
        <v>1</v>
      </c>
      <c r="AK309">
        <v>3</v>
      </c>
      <c r="AL309" t="s">
        <v>1645</v>
      </c>
      <c r="AM309" t="s">
        <v>1646</v>
      </c>
      <c r="AN309" t="s">
        <v>1647</v>
      </c>
      <c r="AO309" t="s">
        <v>4338</v>
      </c>
      <c r="AP309" t="s">
        <v>4354</v>
      </c>
      <c r="AQ309" t="s">
        <v>74</v>
      </c>
      <c r="AR309" t="s">
        <v>4339</v>
      </c>
      <c r="AS309" t="s">
        <v>4340</v>
      </c>
      <c r="AT309" t="s">
        <v>4100</v>
      </c>
      <c r="AU309">
        <v>1999</v>
      </c>
      <c r="AV309">
        <v>46</v>
      </c>
      <c r="AW309">
        <v>4</v>
      </c>
      <c r="AX309" t="s">
        <v>74</v>
      </c>
      <c r="AY309" t="s">
        <v>74</v>
      </c>
      <c r="AZ309" t="s">
        <v>74</v>
      </c>
      <c r="BA309" t="s">
        <v>74</v>
      </c>
      <c r="BB309">
        <v>593</v>
      </c>
      <c r="BC309">
        <v>606</v>
      </c>
      <c r="BD309" t="s">
        <v>74</v>
      </c>
      <c r="BE309" t="s">
        <v>4355</v>
      </c>
      <c r="BF309" t="str">
        <f>HYPERLINK("http://dx.doi.org/10.1046/j.1440-0952.1999.00727.x","http://dx.doi.org/10.1046/j.1440-0952.1999.00727.x")</f>
        <v>http://dx.doi.org/10.1046/j.1440-0952.1999.00727.x</v>
      </c>
      <c r="BG309" t="s">
        <v>74</v>
      </c>
      <c r="BH309" t="s">
        <v>74</v>
      </c>
      <c r="BI309">
        <v>14</v>
      </c>
      <c r="BJ309" t="s">
        <v>387</v>
      </c>
      <c r="BK309" t="s">
        <v>96</v>
      </c>
      <c r="BL309" t="s">
        <v>388</v>
      </c>
      <c r="BM309" t="s">
        <v>4342</v>
      </c>
      <c r="BN309" t="s">
        <v>74</v>
      </c>
      <c r="BO309" t="s">
        <v>74</v>
      </c>
      <c r="BP309" t="s">
        <v>74</v>
      </c>
      <c r="BQ309" t="s">
        <v>74</v>
      </c>
      <c r="BR309" t="s">
        <v>99</v>
      </c>
      <c r="BS309" t="s">
        <v>4356</v>
      </c>
      <c r="BT309" t="str">
        <f>HYPERLINK("https%3A%2F%2Fwww.webofscience.com%2Fwos%2Fwoscc%2Ffull-record%2FWOS:000081839200010","View Full Record in Web of Science")</f>
        <v>View Full Record in Web of Science</v>
      </c>
    </row>
    <row r="310" spans="1:72" x14ac:dyDescent="0.15">
      <c r="A310" t="s">
        <v>72</v>
      </c>
      <c r="B310" t="s">
        <v>4357</v>
      </c>
      <c r="C310" t="s">
        <v>74</v>
      </c>
      <c r="D310" t="s">
        <v>74</v>
      </c>
      <c r="E310" t="s">
        <v>74</v>
      </c>
      <c r="F310" t="s">
        <v>4357</v>
      </c>
      <c r="G310" t="s">
        <v>74</v>
      </c>
      <c r="H310" t="s">
        <v>74</v>
      </c>
      <c r="I310" t="s">
        <v>4358</v>
      </c>
      <c r="J310" t="s">
        <v>4359</v>
      </c>
      <c r="K310" t="s">
        <v>74</v>
      </c>
      <c r="L310" t="s">
        <v>74</v>
      </c>
      <c r="M310" t="s">
        <v>77</v>
      </c>
      <c r="N310" t="s">
        <v>205</v>
      </c>
      <c r="O310" t="s">
        <v>74</v>
      </c>
      <c r="P310" t="s">
        <v>74</v>
      </c>
      <c r="Q310" t="s">
        <v>74</v>
      </c>
      <c r="R310" t="s">
        <v>74</v>
      </c>
      <c r="S310" t="s">
        <v>74</v>
      </c>
      <c r="T310" t="s">
        <v>74</v>
      </c>
      <c r="U310" t="s">
        <v>74</v>
      </c>
      <c r="V310" t="s">
        <v>74</v>
      </c>
      <c r="W310" t="s">
        <v>4360</v>
      </c>
      <c r="X310" t="s">
        <v>4361</v>
      </c>
      <c r="Y310" t="s">
        <v>4362</v>
      </c>
      <c r="Z310" t="s">
        <v>74</v>
      </c>
      <c r="AA310" t="s">
        <v>4363</v>
      </c>
      <c r="AB310" t="s">
        <v>74</v>
      </c>
      <c r="AC310" t="s">
        <v>74</v>
      </c>
      <c r="AD310" t="s">
        <v>74</v>
      </c>
      <c r="AE310" t="s">
        <v>74</v>
      </c>
      <c r="AF310" t="s">
        <v>74</v>
      </c>
      <c r="AG310">
        <v>7</v>
      </c>
      <c r="AH310">
        <v>3</v>
      </c>
      <c r="AI310">
        <v>3</v>
      </c>
      <c r="AJ310">
        <v>0</v>
      </c>
      <c r="AK310">
        <v>3</v>
      </c>
      <c r="AL310" t="s">
        <v>4335</v>
      </c>
      <c r="AM310" t="s">
        <v>4336</v>
      </c>
      <c r="AN310" t="s">
        <v>4337</v>
      </c>
      <c r="AO310" t="s">
        <v>4364</v>
      </c>
      <c r="AP310" t="s">
        <v>74</v>
      </c>
      <c r="AQ310" t="s">
        <v>74</v>
      </c>
      <c r="AR310" t="s">
        <v>4365</v>
      </c>
      <c r="AS310" t="s">
        <v>4366</v>
      </c>
      <c r="AT310" t="s">
        <v>4100</v>
      </c>
      <c r="AU310">
        <v>1999</v>
      </c>
      <c r="AV310">
        <v>24</v>
      </c>
      <c r="AW310">
        <v>4</v>
      </c>
      <c r="AX310" t="s">
        <v>74</v>
      </c>
      <c r="AY310" t="s">
        <v>74</v>
      </c>
      <c r="AZ310" t="s">
        <v>74</v>
      </c>
      <c r="BA310" t="s">
        <v>74</v>
      </c>
      <c r="BB310">
        <v>289</v>
      </c>
      <c r="BC310">
        <v>290</v>
      </c>
      <c r="BD310" t="s">
        <v>74</v>
      </c>
      <c r="BE310" t="s">
        <v>4367</v>
      </c>
      <c r="BF310" t="str">
        <f>HYPERLINK("http://dx.doi.org/10.1046/j.1442-9993.1999.00982.x","http://dx.doi.org/10.1046/j.1442-9993.1999.00982.x")</f>
        <v>http://dx.doi.org/10.1046/j.1442-9993.1999.00982.x</v>
      </c>
      <c r="BG310" t="s">
        <v>74</v>
      </c>
      <c r="BH310" t="s">
        <v>74</v>
      </c>
      <c r="BI310">
        <v>2</v>
      </c>
      <c r="BJ310" t="s">
        <v>868</v>
      </c>
      <c r="BK310" t="s">
        <v>96</v>
      </c>
      <c r="BL310" t="s">
        <v>761</v>
      </c>
      <c r="BM310" t="s">
        <v>4368</v>
      </c>
      <c r="BN310" t="s">
        <v>74</v>
      </c>
      <c r="BO310" t="s">
        <v>74</v>
      </c>
      <c r="BP310" t="s">
        <v>74</v>
      </c>
      <c r="BQ310" t="s">
        <v>74</v>
      </c>
      <c r="BR310" t="s">
        <v>99</v>
      </c>
      <c r="BS310" t="s">
        <v>4369</v>
      </c>
      <c r="BT310" t="str">
        <f>HYPERLINK("https%3A%2F%2Fwww.webofscience.com%2Fwos%2Fwoscc%2Ffull-record%2FWOS:000081839900001","View Full Record in Web of Science")</f>
        <v>View Full Record in Web of Science</v>
      </c>
    </row>
    <row r="311" spans="1:72" x14ac:dyDescent="0.15">
      <c r="A311" t="s">
        <v>72</v>
      </c>
      <c r="B311" t="s">
        <v>4370</v>
      </c>
      <c r="C311" t="s">
        <v>74</v>
      </c>
      <c r="D311" t="s">
        <v>74</v>
      </c>
      <c r="E311" t="s">
        <v>74</v>
      </c>
      <c r="F311" t="s">
        <v>4370</v>
      </c>
      <c r="G311" t="s">
        <v>74</v>
      </c>
      <c r="H311" t="s">
        <v>74</v>
      </c>
      <c r="I311" t="s">
        <v>4371</v>
      </c>
      <c r="J311" t="s">
        <v>4359</v>
      </c>
      <c r="K311" t="s">
        <v>74</v>
      </c>
      <c r="L311" t="s">
        <v>74</v>
      </c>
      <c r="M311" t="s">
        <v>77</v>
      </c>
      <c r="N311" t="s">
        <v>123</v>
      </c>
      <c r="O311" t="s">
        <v>4372</v>
      </c>
      <c r="P311" t="s">
        <v>4373</v>
      </c>
      <c r="Q311" t="s">
        <v>4374</v>
      </c>
      <c r="R311" t="s">
        <v>74</v>
      </c>
      <c r="S311" t="s">
        <v>4375</v>
      </c>
      <c r="T311" t="s">
        <v>4376</v>
      </c>
      <c r="U311" t="s">
        <v>4377</v>
      </c>
      <c r="V311" t="s">
        <v>4378</v>
      </c>
      <c r="W311" t="s">
        <v>4379</v>
      </c>
      <c r="X311" t="s">
        <v>4361</v>
      </c>
      <c r="Y311" t="s">
        <v>4380</v>
      </c>
      <c r="Z311" t="s">
        <v>74</v>
      </c>
      <c r="AA311" t="s">
        <v>4363</v>
      </c>
      <c r="AB311" t="s">
        <v>74</v>
      </c>
      <c r="AC311" t="s">
        <v>74</v>
      </c>
      <c r="AD311" t="s">
        <v>74</v>
      </c>
      <c r="AE311" t="s">
        <v>74</v>
      </c>
      <c r="AF311" t="s">
        <v>74</v>
      </c>
      <c r="AG311">
        <v>211</v>
      </c>
      <c r="AH311">
        <v>99</v>
      </c>
      <c r="AI311">
        <v>114</v>
      </c>
      <c r="AJ311">
        <v>1</v>
      </c>
      <c r="AK311">
        <v>42</v>
      </c>
      <c r="AL311" t="s">
        <v>4381</v>
      </c>
      <c r="AM311" t="s">
        <v>4336</v>
      </c>
      <c r="AN311" t="s">
        <v>4337</v>
      </c>
      <c r="AO311" t="s">
        <v>4364</v>
      </c>
      <c r="AP311" t="s">
        <v>74</v>
      </c>
      <c r="AQ311" t="s">
        <v>74</v>
      </c>
      <c r="AR311" t="s">
        <v>4365</v>
      </c>
      <c r="AS311" t="s">
        <v>4366</v>
      </c>
      <c r="AT311" t="s">
        <v>4100</v>
      </c>
      <c r="AU311">
        <v>1999</v>
      </c>
      <c r="AV311">
        <v>24</v>
      </c>
      <c r="AW311">
        <v>4</v>
      </c>
      <c r="AX311" t="s">
        <v>74</v>
      </c>
      <c r="AY311" t="s">
        <v>74</v>
      </c>
      <c r="AZ311" t="s">
        <v>74</v>
      </c>
      <c r="BA311" t="s">
        <v>74</v>
      </c>
      <c r="BB311">
        <v>452</v>
      </c>
      <c r="BC311">
        <v>476</v>
      </c>
      <c r="BD311" t="s">
        <v>74</v>
      </c>
      <c r="BE311" t="s">
        <v>4382</v>
      </c>
      <c r="BF311" t="str">
        <f>HYPERLINK("http://dx.doi.org/10.1046/j.1442-9993.1999.00977.x","http://dx.doi.org/10.1046/j.1442-9993.1999.00977.x")</f>
        <v>http://dx.doi.org/10.1046/j.1442-9993.1999.00977.x</v>
      </c>
      <c r="BG311" t="s">
        <v>74</v>
      </c>
      <c r="BH311" t="s">
        <v>74</v>
      </c>
      <c r="BI311">
        <v>25</v>
      </c>
      <c r="BJ311" t="s">
        <v>868</v>
      </c>
      <c r="BK311" t="s">
        <v>156</v>
      </c>
      <c r="BL311" t="s">
        <v>761</v>
      </c>
      <c r="BM311" t="s">
        <v>4368</v>
      </c>
      <c r="BN311" t="s">
        <v>74</v>
      </c>
      <c r="BO311" t="s">
        <v>74</v>
      </c>
      <c r="BP311" t="s">
        <v>74</v>
      </c>
      <c r="BQ311" t="s">
        <v>74</v>
      </c>
      <c r="BR311" t="s">
        <v>99</v>
      </c>
      <c r="BS311" t="s">
        <v>4383</v>
      </c>
      <c r="BT311" t="str">
        <f>HYPERLINK("https%3A%2F%2Fwww.webofscience.com%2Fwos%2Fwoscc%2Ffull-record%2FWOS:000081839900014","View Full Record in Web of Science")</f>
        <v>View Full Record in Web of Science</v>
      </c>
    </row>
    <row r="312" spans="1:72" x14ac:dyDescent="0.15">
      <c r="A312" t="s">
        <v>72</v>
      </c>
      <c r="B312" t="s">
        <v>4384</v>
      </c>
      <c r="C312" t="s">
        <v>74</v>
      </c>
      <c r="D312" t="s">
        <v>74</v>
      </c>
      <c r="E312" t="s">
        <v>74</v>
      </c>
      <c r="F312" t="s">
        <v>4384</v>
      </c>
      <c r="G312" t="s">
        <v>74</v>
      </c>
      <c r="H312" t="s">
        <v>74</v>
      </c>
      <c r="I312" t="s">
        <v>4385</v>
      </c>
      <c r="J312" t="s">
        <v>4386</v>
      </c>
      <c r="K312" t="s">
        <v>74</v>
      </c>
      <c r="L312" t="s">
        <v>74</v>
      </c>
      <c r="M312" t="s">
        <v>77</v>
      </c>
      <c r="N312" t="s">
        <v>78</v>
      </c>
      <c r="O312" t="s">
        <v>74</v>
      </c>
      <c r="P312" t="s">
        <v>74</v>
      </c>
      <c r="Q312" t="s">
        <v>74</v>
      </c>
      <c r="R312" t="s">
        <v>74</v>
      </c>
      <c r="S312" t="s">
        <v>74</v>
      </c>
      <c r="T312" t="s">
        <v>4387</v>
      </c>
      <c r="U312" t="s">
        <v>4388</v>
      </c>
      <c r="V312" t="s">
        <v>4389</v>
      </c>
      <c r="W312" t="s">
        <v>4390</v>
      </c>
      <c r="X312" t="s">
        <v>4391</v>
      </c>
      <c r="Y312" t="s">
        <v>4392</v>
      </c>
      <c r="Z312" t="s">
        <v>74</v>
      </c>
      <c r="AA312" t="s">
        <v>4393</v>
      </c>
      <c r="AB312" t="s">
        <v>4394</v>
      </c>
      <c r="AC312" t="s">
        <v>74</v>
      </c>
      <c r="AD312" t="s">
        <v>74</v>
      </c>
      <c r="AE312" t="s">
        <v>74</v>
      </c>
      <c r="AF312" t="s">
        <v>74</v>
      </c>
      <c r="AG312">
        <v>47</v>
      </c>
      <c r="AH312">
        <v>39</v>
      </c>
      <c r="AI312">
        <v>42</v>
      </c>
      <c r="AJ312">
        <v>1</v>
      </c>
      <c r="AK312">
        <v>6</v>
      </c>
      <c r="AL312" t="s">
        <v>553</v>
      </c>
      <c r="AM312" t="s">
        <v>554</v>
      </c>
      <c r="AN312" t="s">
        <v>555</v>
      </c>
      <c r="AO312" t="s">
        <v>4395</v>
      </c>
      <c r="AP312" t="s">
        <v>74</v>
      </c>
      <c r="AQ312" t="s">
        <v>74</v>
      </c>
      <c r="AR312" t="s">
        <v>4396</v>
      </c>
      <c r="AS312" t="s">
        <v>4397</v>
      </c>
      <c r="AT312" t="s">
        <v>4100</v>
      </c>
      <c r="AU312">
        <v>1999</v>
      </c>
      <c r="AV312">
        <v>46</v>
      </c>
      <c r="AW312">
        <v>3</v>
      </c>
      <c r="AX312" t="s">
        <v>74</v>
      </c>
      <c r="AY312" t="s">
        <v>74</v>
      </c>
      <c r="AZ312" t="s">
        <v>74</v>
      </c>
      <c r="BA312" t="s">
        <v>74</v>
      </c>
      <c r="BB312">
        <v>157</v>
      </c>
      <c r="BC312">
        <v>163</v>
      </c>
      <c r="BD312" t="s">
        <v>74</v>
      </c>
      <c r="BE312" t="s">
        <v>4398</v>
      </c>
      <c r="BF312" t="str">
        <f>HYPERLINK("http://dx.doi.org/10.1007/s002650050605","http://dx.doi.org/10.1007/s002650050605")</f>
        <v>http://dx.doi.org/10.1007/s002650050605</v>
      </c>
      <c r="BG312" t="s">
        <v>74</v>
      </c>
      <c r="BH312" t="s">
        <v>74</v>
      </c>
      <c r="BI312">
        <v>7</v>
      </c>
      <c r="BJ312" t="s">
        <v>4399</v>
      </c>
      <c r="BK312" t="s">
        <v>96</v>
      </c>
      <c r="BL312" t="s">
        <v>4400</v>
      </c>
      <c r="BM312" t="s">
        <v>4401</v>
      </c>
      <c r="BN312" t="s">
        <v>74</v>
      </c>
      <c r="BO312" t="s">
        <v>74</v>
      </c>
      <c r="BP312" t="s">
        <v>74</v>
      </c>
      <c r="BQ312" t="s">
        <v>74</v>
      </c>
      <c r="BR312" t="s">
        <v>99</v>
      </c>
      <c r="BS312" t="s">
        <v>4402</v>
      </c>
      <c r="BT312" t="str">
        <f>HYPERLINK("https%3A%2F%2Fwww.webofscience.com%2Fwos%2Fwoscc%2Ffull-record%2FWOS:000082141200003","View Full Record in Web of Science")</f>
        <v>View Full Record in Web of Science</v>
      </c>
    </row>
    <row r="313" spans="1:72" x14ac:dyDescent="0.15">
      <c r="A313" t="s">
        <v>72</v>
      </c>
      <c r="B313" t="s">
        <v>4403</v>
      </c>
      <c r="C313" t="s">
        <v>74</v>
      </c>
      <c r="D313" t="s">
        <v>74</v>
      </c>
      <c r="E313" t="s">
        <v>74</v>
      </c>
      <c r="F313" t="s">
        <v>4403</v>
      </c>
      <c r="G313" t="s">
        <v>74</v>
      </c>
      <c r="H313" t="s">
        <v>74</v>
      </c>
      <c r="I313" t="s">
        <v>4404</v>
      </c>
      <c r="J313" t="s">
        <v>4405</v>
      </c>
      <c r="K313" t="s">
        <v>74</v>
      </c>
      <c r="L313" t="s">
        <v>74</v>
      </c>
      <c r="M313" t="s">
        <v>77</v>
      </c>
      <c r="N313" t="s">
        <v>254</v>
      </c>
      <c r="O313" t="s">
        <v>74</v>
      </c>
      <c r="P313" t="s">
        <v>74</v>
      </c>
      <c r="Q313" t="s">
        <v>74</v>
      </c>
      <c r="R313" t="s">
        <v>74</v>
      </c>
      <c r="S313" t="s">
        <v>74</v>
      </c>
      <c r="T313" t="s">
        <v>4406</v>
      </c>
      <c r="U313" t="s">
        <v>4407</v>
      </c>
      <c r="V313" t="s">
        <v>4408</v>
      </c>
      <c r="W313" t="s">
        <v>4409</v>
      </c>
      <c r="X313" t="s">
        <v>4410</v>
      </c>
      <c r="Y313" t="s">
        <v>4411</v>
      </c>
      <c r="Z313" t="s">
        <v>74</v>
      </c>
      <c r="AA313" t="s">
        <v>74</v>
      </c>
      <c r="AB313" t="s">
        <v>74</v>
      </c>
      <c r="AC313" t="s">
        <v>74</v>
      </c>
      <c r="AD313" t="s">
        <v>74</v>
      </c>
      <c r="AE313" t="s">
        <v>74</v>
      </c>
      <c r="AF313" t="s">
        <v>74</v>
      </c>
      <c r="AG313">
        <v>242</v>
      </c>
      <c r="AH313">
        <v>586</v>
      </c>
      <c r="AI313">
        <v>638</v>
      </c>
      <c r="AJ313">
        <v>5</v>
      </c>
      <c r="AK313">
        <v>121</v>
      </c>
      <c r="AL313" t="s">
        <v>997</v>
      </c>
      <c r="AM313" t="s">
        <v>998</v>
      </c>
      <c r="AN313" t="s">
        <v>999</v>
      </c>
      <c r="AO313" t="s">
        <v>4412</v>
      </c>
      <c r="AP313" t="s">
        <v>4413</v>
      </c>
      <c r="AQ313" t="s">
        <v>74</v>
      </c>
      <c r="AR313" t="s">
        <v>4414</v>
      </c>
      <c r="AS313" t="s">
        <v>4415</v>
      </c>
      <c r="AT313" t="s">
        <v>4100</v>
      </c>
      <c r="AU313">
        <v>1999</v>
      </c>
      <c r="AV313">
        <v>74</v>
      </c>
      <c r="AW313">
        <v>3</v>
      </c>
      <c r="AX313" t="s">
        <v>74</v>
      </c>
      <c r="AY313" t="s">
        <v>74</v>
      </c>
      <c r="AZ313" t="s">
        <v>74</v>
      </c>
      <c r="BA313" t="s">
        <v>74</v>
      </c>
      <c r="BB313">
        <v>311</v>
      </c>
      <c r="BC313">
        <v>345</v>
      </c>
      <c r="BD313" t="s">
        <v>74</v>
      </c>
      <c r="BE313" t="s">
        <v>4416</v>
      </c>
      <c r="BF313" t="str">
        <f>HYPERLINK("http://dx.doi.org/10.1017/S0006323199005356","http://dx.doi.org/10.1017/S0006323199005356")</f>
        <v>http://dx.doi.org/10.1017/S0006323199005356</v>
      </c>
      <c r="BG313" t="s">
        <v>74</v>
      </c>
      <c r="BH313" t="s">
        <v>74</v>
      </c>
      <c r="BI313">
        <v>35</v>
      </c>
      <c r="BJ313" t="s">
        <v>3521</v>
      </c>
      <c r="BK313" t="s">
        <v>96</v>
      </c>
      <c r="BL313" t="s">
        <v>3522</v>
      </c>
      <c r="BM313" t="s">
        <v>4417</v>
      </c>
      <c r="BN313">
        <v>10466253</v>
      </c>
      <c r="BO313" t="s">
        <v>74</v>
      </c>
      <c r="BP313" t="s">
        <v>74</v>
      </c>
      <c r="BQ313" t="s">
        <v>74</v>
      </c>
      <c r="BR313" t="s">
        <v>99</v>
      </c>
      <c r="BS313" t="s">
        <v>4418</v>
      </c>
      <c r="BT313" t="str">
        <f>HYPERLINK("https%3A%2F%2Fwww.webofscience.com%2Fwos%2Fwoscc%2Ffull-record%2FWOS:000082059600004","View Full Record in Web of Science")</f>
        <v>View Full Record in Web of Science</v>
      </c>
    </row>
    <row r="314" spans="1:72" x14ac:dyDescent="0.15">
      <c r="A314" t="s">
        <v>72</v>
      </c>
      <c r="B314" t="s">
        <v>4419</v>
      </c>
      <c r="C314" t="s">
        <v>74</v>
      </c>
      <c r="D314" t="s">
        <v>74</v>
      </c>
      <c r="E314" t="s">
        <v>74</v>
      </c>
      <c r="F314" t="s">
        <v>4419</v>
      </c>
      <c r="G314" t="s">
        <v>74</v>
      </c>
      <c r="H314" t="s">
        <v>74</v>
      </c>
      <c r="I314" t="s">
        <v>4420</v>
      </c>
      <c r="J314" t="s">
        <v>4421</v>
      </c>
      <c r="K314" t="s">
        <v>74</v>
      </c>
      <c r="L314" t="s">
        <v>74</v>
      </c>
      <c r="M314" t="s">
        <v>77</v>
      </c>
      <c r="N314" t="s">
        <v>78</v>
      </c>
      <c r="O314" t="s">
        <v>74</v>
      </c>
      <c r="P314" t="s">
        <v>74</v>
      </c>
      <c r="Q314" t="s">
        <v>74</v>
      </c>
      <c r="R314" t="s">
        <v>74</v>
      </c>
      <c r="S314" t="s">
        <v>74</v>
      </c>
      <c r="T314" t="s">
        <v>4422</v>
      </c>
      <c r="U314" t="s">
        <v>4423</v>
      </c>
      <c r="V314" t="s">
        <v>4424</v>
      </c>
      <c r="W314" t="s">
        <v>4425</v>
      </c>
      <c r="X314" t="s">
        <v>4426</v>
      </c>
      <c r="Y314" t="s">
        <v>4427</v>
      </c>
      <c r="Z314" t="s">
        <v>4428</v>
      </c>
      <c r="AA314" t="s">
        <v>4429</v>
      </c>
      <c r="AB314" t="s">
        <v>4430</v>
      </c>
      <c r="AC314" t="s">
        <v>74</v>
      </c>
      <c r="AD314" t="s">
        <v>74</v>
      </c>
      <c r="AE314" t="s">
        <v>74</v>
      </c>
      <c r="AF314" t="s">
        <v>74</v>
      </c>
      <c r="AG314">
        <v>21</v>
      </c>
      <c r="AH314">
        <v>47</v>
      </c>
      <c r="AI314">
        <v>50</v>
      </c>
      <c r="AJ314">
        <v>0</v>
      </c>
      <c r="AK314">
        <v>11</v>
      </c>
      <c r="AL314" t="s">
        <v>210</v>
      </c>
      <c r="AM314" t="s">
        <v>211</v>
      </c>
      <c r="AN314" t="s">
        <v>212</v>
      </c>
      <c r="AO314" t="s">
        <v>4431</v>
      </c>
      <c r="AP314" t="s">
        <v>74</v>
      </c>
      <c r="AQ314" t="s">
        <v>74</v>
      </c>
      <c r="AR314" t="s">
        <v>4432</v>
      </c>
      <c r="AS314" t="s">
        <v>4433</v>
      </c>
      <c r="AT314" t="s">
        <v>4100</v>
      </c>
      <c r="AU314">
        <v>1999</v>
      </c>
      <c r="AV314">
        <v>29</v>
      </c>
      <c r="AW314">
        <v>2</v>
      </c>
      <c r="AX314" t="s">
        <v>74</v>
      </c>
      <c r="AY314" t="s">
        <v>74</v>
      </c>
      <c r="AZ314" t="s">
        <v>74</v>
      </c>
      <c r="BA314" t="s">
        <v>74</v>
      </c>
      <c r="BB314">
        <v>153</v>
      </c>
      <c r="BC314">
        <v>171</v>
      </c>
      <c r="BD314" t="s">
        <v>74</v>
      </c>
      <c r="BE314" t="s">
        <v>4434</v>
      </c>
      <c r="BF314" t="str">
        <f>HYPERLINK("http://dx.doi.org/10.1016/S0165-232X(99)00024-5","http://dx.doi.org/10.1016/S0165-232X(99)00024-5")</f>
        <v>http://dx.doi.org/10.1016/S0165-232X(99)00024-5</v>
      </c>
      <c r="BG314" t="s">
        <v>74</v>
      </c>
      <c r="BH314" t="s">
        <v>74</v>
      </c>
      <c r="BI314">
        <v>19</v>
      </c>
      <c r="BJ314" t="s">
        <v>4435</v>
      </c>
      <c r="BK314" t="s">
        <v>96</v>
      </c>
      <c r="BL314" t="s">
        <v>4436</v>
      </c>
      <c r="BM314" t="s">
        <v>4437</v>
      </c>
      <c r="BN314" t="s">
        <v>74</v>
      </c>
      <c r="BO314" t="s">
        <v>74</v>
      </c>
      <c r="BP314" t="s">
        <v>74</v>
      </c>
      <c r="BQ314" t="s">
        <v>74</v>
      </c>
      <c r="BR314" t="s">
        <v>99</v>
      </c>
      <c r="BS314" t="s">
        <v>4438</v>
      </c>
      <c r="BT314" t="str">
        <f>HYPERLINK("https%3A%2F%2Fwww.webofscience.com%2Fwos%2Fwoscc%2Ffull-record%2FWOS:000082981500005","View Full Record in Web of Science")</f>
        <v>View Full Record in Web of Science</v>
      </c>
    </row>
    <row r="315" spans="1:72" x14ac:dyDescent="0.15">
      <c r="A315" t="s">
        <v>72</v>
      </c>
      <c r="B315" t="s">
        <v>4439</v>
      </c>
      <c r="C315" t="s">
        <v>74</v>
      </c>
      <c r="D315" t="s">
        <v>74</v>
      </c>
      <c r="E315" t="s">
        <v>74</v>
      </c>
      <c r="F315" t="s">
        <v>4439</v>
      </c>
      <c r="G315" t="s">
        <v>74</v>
      </c>
      <c r="H315" t="s">
        <v>74</v>
      </c>
      <c r="I315" t="s">
        <v>4440</v>
      </c>
      <c r="J315" t="s">
        <v>827</v>
      </c>
      <c r="K315" t="s">
        <v>74</v>
      </c>
      <c r="L315" t="s">
        <v>74</v>
      </c>
      <c r="M315" t="s">
        <v>77</v>
      </c>
      <c r="N315" t="s">
        <v>78</v>
      </c>
      <c r="O315" t="s">
        <v>74</v>
      </c>
      <c r="P315" t="s">
        <v>74</v>
      </c>
      <c r="Q315" t="s">
        <v>74</v>
      </c>
      <c r="R315" t="s">
        <v>74</v>
      </c>
      <c r="S315" t="s">
        <v>74</v>
      </c>
      <c r="T315" t="s">
        <v>74</v>
      </c>
      <c r="U315" t="s">
        <v>4441</v>
      </c>
      <c r="V315" t="s">
        <v>4442</v>
      </c>
      <c r="W315" t="s">
        <v>4443</v>
      </c>
      <c r="X315" t="s">
        <v>4444</v>
      </c>
      <c r="Y315" t="s">
        <v>4445</v>
      </c>
      <c r="Z315" t="s">
        <v>4446</v>
      </c>
      <c r="AA315" t="s">
        <v>4447</v>
      </c>
      <c r="AB315" t="s">
        <v>4448</v>
      </c>
      <c r="AC315" t="s">
        <v>74</v>
      </c>
      <c r="AD315" t="s">
        <v>74</v>
      </c>
      <c r="AE315" t="s">
        <v>74</v>
      </c>
      <c r="AF315" t="s">
        <v>74</v>
      </c>
      <c r="AG315">
        <v>70</v>
      </c>
      <c r="AH315">
        <v>185</v>
      </c>
      <c r="AI315">
        <v>197</v>
      </c>
      <c r="AJ315">
        <v>0</v>
      </c>
      <c r="AK315">
        <v>10</v>
      </c>
      <c r="AL315" t="s">
        <v>275</v>
      </c>
      <c r="AM315" t="s">
        <v>276</v>
      </c>
      <c r="AN315" t="s">
        <v>277</v>
      </c>
      <c r="AO315" t="s">
        <v>836</v>
      </c>
      <c r="AP315" t="s">
        <v>4449</v>
      </c>
      <c r="AQ315" t="s">
        <v>74</v>
      </c>
      <c r="AR315" t="s">
        <v>837</v>
      </c>
      <c r="AS315" t="s">
        <v>838</v>
      </c>
      <c r="AT315" t="s">
        <v>4100</v>
      </c>
      <c r="AU315">
        <v>1999</v>
      </c>
      <c r="AV315">
        <v>46</v>
      </c>
      <c r="AW315">
        <v>8</v>
      </c>
      <c r="AX315" t="s">
        <v>74</v>
      </c>
      <c r="AY315" t="s">
        <v>74</v>
      </c>
      <c r="AZ315" t="s">
        <v>74</v>
      </c>
      <c r="BA315" t="s">
        <v>74</v>
      </c>
      <c r="BB315">
        <v>1417</v>
      </c>
      <c r="BC315">
        <v>1454</v>
      </c>
      <c r="BD315" t="s">
        <v>74</v>
      </c>
      <c r="BE315" t="s">
        <v>4450</v>
      </c>
      <c r="BF315" t="str">
        <f>HYPERLINK("http://dx.doi.org/10.1016/S0967-0637(99)00013-8","http://dx.doi.org/10.1016/S0967-0637(99)00013-8")</f>
        <v>http://dx.doi.org/10.1016/S0967-0637(99)00013-8</v>
      </c>
      <c r="BG315" t="s">
        <v>74</v>
      </c>
      <c r="BH315" t="s">
        <v>74</v>
      </c>
      <c r="BI315">
        <v>38</v>
      </c>
      <c r="BJ315" t="s">
        <v>416</v>
      </c>
      <c r="BK315" t="s">
        <v>96</v>
      </c>
      <c r="BL315" t="s">
        <v>416</v>
      </c>
      <c r="BM315" t="s">
        <v>4451</v>
      </c>
      <c r="BN315" t="s">
        <v>74</v>
      </c>
      <c r="BO315" t="s">
        <v>74</v>
      </c>
      <c r="BP315" t="s">
        <v>74</v>
      </c>
      <c r="BQ315" t="s">
        <v>74</v>
      </c>
      <c r="BR315" t="s">
        <v>99</v>
      </c>
      <c r="BS315" t="s">
        <v>4452</v>
      </c>
      <c r="BT315" t="str">
        <f>HYPERLINK("https%3A%2F%2Fwww.webofscience.com%2Fwos%2Fwoscc%2Ffull-record%2FWOS:000080851900005","View Full Record in Web of Science")</f>
        <v>View Full Record in Web of Science</v>
      </c>
    </row>
    <row r="316" spans="1:72" x14ac:dyDescent="0.15">
      <c r="A316" t="s">
        <v>72</v>
      </c>
      <c r="B316" t="s">
        <v>3387</v>
      </c>
      <c r="C316" t="s">
        <v>74</v>
      </c>
      <c r="D316" t="s">
        <v>74</v>
      </c>
      <c r="E316" t="s">
        <v>74</v>
      </c>
      <c r="F316" t="s">
        <v>3387</v>
      </c>
      <c r="G316" t="s">
        <v>74</v>
      </c>
      <c r="H316" t="s">
        <v>74</v>
      </c>
      <c r="I316" t="s">
        <v>4453</v>
      </c>
      <c r="J316" t="s">
        <v>844</v>
      </c>
      <c r="K316" t="s">
        <v>74</v>
      </c>
      <c r="L316" t="s">
        <v>74</v>
      </c>
      <c r="M316" t="s">
        <v>845</v>
      </c>
      <c r="N316" t="s">
        <v>78</v>
      </c>
      <c r="O316" t="s">
        <v>74</v>
      </c>
      <c r="P316" t="s">
        <v>74</v>
      </c>
      <c r="Q316" t="s">
        <v>74</v>
      </c>
      <c r="R316" t="s">
        <v>74</v>
      </c>
      <c r="S316" t="s">
        <v>74</v>
      </c>
      <c r="T316" t="s">
        <v>74</v>
      </c>
      <c r="U316" t="s">
        <v>74</v>
      </c>
      <c r="V316" t="s">
        <v>74</v>
      </c>
      <c r="W316" t="s">
        <v>846</v>
      </c>
      <c r="X316" t="s">
        <v>847</v>
      </c>
      <c r="Y316" t="s">
        <v>4454</v>
      </c>
      <c r="Z316" t="s">
        <v>74</v>
      </c>
      <c r="AA316" t="s">
        <v>74</v>
      </c>
      <c r="AB316" t="s">
        <v>74</v>
      </c>
      <c r="AC316" t="s">
        <v>74</v>
      </c>
      <c r="AD316" t="s">
        <v>74</v>
      </c>
      <c r="AE316" t="s">
        <v>74</v>
      </c>
      <c r="AF316" t="s">
        <v>74</v>
      </c>
      <c r="AG316">
        <v>9</v>
      </c>
      <c r="AH316">
        <v>0</v>
      </c>
      <c r="AI316">
        <v>0</v>
      </c>
      <c r="AJ316">
        <v>0</v>
      </c>
      <c r="AK316">
        <v>0</v>
      </c>
      <c r="AL316" t="s">
        <v>849</v>
      </c>
      <c r="AM316" t="s">
        <v>850</v>
      </c>
      <c r="AN316" t="s">
        <v>851</v>
      </c>
      <c r="AO316" t="s">
        <v>852</v>
      </c>
      <c r="AP316" t="s">
        <v>74</v>
      </c>
      <c r="AQ316" t="s">
        <v>74</v>
      </c>
      <c r="AR316" t="s">
        <v>853</v>
      </c>
      <c r="AS316" t="s">
        <v>854</v>
      </c>
      <c r="AT316" t="s">
        <v>4100</v>
      </c>
      <c r="AU316">
        <v>1999</v>
      </c>
      <c r="AV316">
        <v>367</v>
      </c>
      <c r="AW316">
        <v>4</v>
      </c>
      <c r="AX316" t="s">
        <v>74</v>
      </c>
      <c r="AY316" t="s">
        <v>74</v>
      </c>
      <c r="AZ316" t="s">
        <v>74</v>
      </c>
      <c r="BA316" t="s">
        <v>74</v>
      </c>
      <c r="BB316">
        <v>537</v>
      </c>
      <c r="BC316">
        <v>540</v>
      </c>
      <c r="BD316" t="s">
        <v>74</v>
      </c>
      <c r="BE316" t="s">
        <v>74</v>
      </c>
      <c r="BF316" t="s">
        <v>74</v>
      </c>
      <c r="BG316" t="s">
        <v>74</v>
      </c>
      <c r="BH316" t="s">
        <v>74</v>
      </c>
      <c r="BI316">
        <v>4</v>
      </c>
      <c r="BJ316" t="s">
        <v>303</v>
      </c>
      <c r="BK316" t="s">
        <v>96</v>
      </c>
      <c r="BL316" t="s">
        <v>304</v>
      </c>
      <c r="BM316" t="s">
        <v>4455</v>
      </c>
      <c r="BN316" t="s">
        <v>74</v>
      </c>
      <c r="BO316" t="s">
        <v>74</v>
      </c>
      <c r="BP316" t="s">
        <v>74</v>
      </c>
      <c r="BQ316" t="s">
        <v>74</v>
      </c>
      <c r="BR316" t="s">
        <v>99</v>
      </c>
      <c r="BS316" t="s">
        <v>4456</v>
      </c>
      <c r="BT316" t="str">
        <f>HYPERLINK("https%3A%2F%2Fwww.webofscience.com%2Fwos%2Fwoscc%2Ffull-record%2FWOS:000084579700027","View Full Record in Web of Science")</f>
        <v>View Full Record in Web of Science</v>
      </c>
    </row>
    <row r="317" spans="1:72" x14ac:dyDescent="0.15">
      <c r="A317" t="s">
        <v>72</v>
      </c>
      <c r="B317" t="s">
        <v>4457</v>
      </c>
      <c r="C317" t="s">
        <v>74</v>
      </c>
      <c r="D317" t="s">
        <v>74</v>
      </c>
      <c r="E317" t="s">
        <v>74</v>
      </c>
      <c r="F317" t="s">
        <v>4457</v>
      </c>
      <c r="G317" t="s">
        <v>74</v>
      </c>
      <c r="H317" t="s">
        <v>74</v>
      </c>
      <c r="I317" t="s">
        <v>4458</v>
      </c>
      <c r="J317" t="s">
        <v>844</v>
      </c>
      <c r="K317" t="s">
        <v>74</v>
      </c>
      <c r="L317" t="s">
        <v>74</v>
      </c>
      <c r="M317" t="s">
        <v>845</v>
      </c>
      <c r="N317" t="s">
        <v>78</v>
      </c>
      <c r="O317" t="s">
        <v>74</v>
      </c>
      <c r="P317" t="s">
        <v>74</v>
      </c>
      <c r="Q317" t="s">
        <v>74</v>
      </c>
      <c r="R317" t="s">
        <v>74</v>
      </c>
      <c r="S317" t="s">
        <v>74</v>
      </c>
      <c r="T317" t="s">
        <v>74</v>
      </c>
      <c r="U317" t="s">
        <v>74</v>
      </c>
      <c r="V317" t="s">
        <v>74</v>
      </c>
      <c r="W317" t="s">
        <v>3181</v>
      </c>
      <c r="X317" t="s">
        <v>3182</v>
      </c>
      <c r="Y317" t="s">
        <v>3183</v>
      </c>
      <c r="Z317" t="s">
        <v>74</v>
      </c>
      <c r="AA317" t="s">
        <v>3184</v>
      </c>
      <c r="AB317" t="s">
        <v>3185</v>
      </c>
      <c r="AC317" t="s">
        <v>74</v>
      </c>
      <c r="AD317" t="s">
        <v>74</v>
      </c>
      <c r="AE317" t="s">
        <v>74</v>
      </c>
      <c r="AF317" t="s">
        <v>74</v>
      </c>
      <c r="AG317">
        <v>10</v>
      </c>
      <c r="AH317">
        <v>2</v>
      </c>
      <c r="AI317">
        <v>2</v>
      </c>
      <c r="AJ317">
        <v>0</v>
      </c>
      <c r="AK317">
        <v>0</v>
      </c>
      <c r="AL317" t="s">
        <v>849</v>
      </c>
      <c r="AM317" t="s">
        <v>850</v>
      </c>
      <c r="AN317" t="s">
        <v>851</v>
      </c>
      <c r="AO317" t="s">
        <v>852</v>
      </c>
      <c r="AP317" t="s">
        <v>74</v>
      </c>
      <c r="AQ317" t="s">
        <v>74</v>
      </c>
      <c r="AR317" t="s">
        <v>853</v>
      </c>
      <c r="AS317" t="s">
        <v>854</v>
      </c>
      <c r="AT317" t="s">
        <v>4100</v>
      </c>
      <c r="AU317">
        <v>1999</v>
      </c>
      <c r="AV317">
        <v>367</v>
      </c>
      <c r="AW317">
        <v>5</v>
      </c>
      <c r="AX317" t="s">
        <v>74</v>
      </c>
      <c r="AY317" t="s">
        <v>74</v>
      </c>
      <c r="AZ317" t="s">
        <v>74</v>
      </c>
      <c r="BA317" t="s">
        <v>74</v>
      </c>
      <c r="BB317">
        <v>684</v>
      </c>
      <c r="BC317">
        <v>689</v>
      </c>
      <c r="BD317" t="s">
        <v>74</v>
      </c>
      <c r="BE317" t="s">
        <v>74</v>
      </c>
      <c r="BF317" t="s">
        <v>74</v>
      </c>
      <c r="BG317" t="s">
        <v>74</v>
      </c>
      <c r="BH317" t="s">
        <v>74</v>
      </c>
      <c r="BI317">
        <v>6</v>
      </c>
      <c r="BJ317" t="s">
        <v>303</v>
      </c>
      <c r="BK317" t="s">
        <v>96</v>
      </c>
      <c r="BL317" t="s">
        <v>304</v>
      </c>
      <c r="BM317" t="s">
        <v>4459</v>
      </c>
      <c r="BN317" t="s">
        <v>74</v>
      </c>
      <c r="BO317" t="s">
        <v>74</v>
      </c>
      <c r="BP317" t="s">
        <v>74</v>
      </c>
      <c r="BQ317" t="s">
        <v>74</v>
      </c>
      <c r="BR317" t="s">
        <v>99</v>
      </c>
      <c r="BS317" t="s">
        <v>4460</v>
      </c>
      <c r="BT317" t="str">
        <f>HYPERLINK("https%3A%2F%2Fwww.webofscience.com%2Fwos%2Fwoscc%2Ffull-record%2FWOS:000084579800029","View Full Record in Web of Science")</f>
        <v>View Full Record in Web of Science</v>
      </c>
    </row>
    <row r="318" spans="1:72" x14ac:dyDescent="0.15">
      <c r="A318" t="s">
        <v>72</v>
      </c>
      <c r="B318" t="s">
        <v>4457</v>
      </c>
      <c r="C318" t="s">
        <v>74</v>
      </c>
      <c r="D318" t="s">
        <v>74</v>
      </c>
      <c r="E318" t="s">
        <v>74</v>
      </c>
      <c r="F318" t="s">
        <v>4457</v>
      </c>
      <c r="G318" t="s">
        <v>74</v>
      </c>
      <c r="H318" t="s">
        <v>74</v>
      </c>
      <c r="I318" t="s">
        <v>4461</v>
      </c>
      <c r="J318" t="s">
        <v>844</v>
      </c>
      <c r="K318" t="s">
        <v>74</v>
      </c>
      <c r="L318" t="s">
        <v>74</v>
      </c>
      <c r="M318" t="s">
        <v>845</v>
      </c>
      <c r="N318" t="s">
        <v>78</v>
      </c>
      <c r="O318" t="s">
        <v>74</v>
      </c>
      <c r="P318" t="s">
        <v>74</v>
      </c>
      <c r="Q318" t="s">
        <v>74</v>
      </c>
      <c r="R318" t="s">
        <v>74</v>
      </c>
      <c r="S318" t="s">
        <v>74</v>
      </c>
      <c r="T318" t="s">
        <v>74</v>
      </c>
      <c r="U318" t="s">
        <v>4462</v>
      </c>
      <c r="V318" t="s">
        <v>74</v>
      </c>
      <c r="W318" t="s">
        <v>3181</v>
      </c>
      <c r="X318" t="s">
        <v>3182</v>
      </c>
      <c r="Y318" t="s">
        <v>3183</v>
      </c>
      <c r="Z318" t="s">
        <v>74</v>
      </c>
      <c r="AA318" t="s">
        <v>3184</v>
      </c>
      <c r="AB318" t="s">
        <v>3185</v>
      </c>
      <c r="AC318" t="s">
        <v>74</v>
      </c>
      <c r="AD318" t="s">
        <v>74</v>
      </c>
      <c r="AE318" t="s">
        <v>74</v>
      </c>
      <c r="AF318" t="s">
        <v>74</v>
      </c>
      <c r="AG318">
        <v>14</v>
      </c>
      <c r="AH318">
        <v>4</v>
      </c>
      <c r="AI318">
        <v>4</v>
      </c>
      <c r="AJ318">
        <v>0</v>
      </c>
      <c r="AK318">
        <v>0</v>
      </c>
      <c r="AL318" t="s">
        <v>849</v>
      </c>
      <c r="AM318" t="s">
        <v>850</v>
      </c>
      <c r="AN318" t="s">
        <v>851</v>
      </c>
      <c r="AO318" t="s">
        <v>852</v>
      </c>
      <c r="AP318" t="s">
        <v>74</v>
      </c>
      <c r="AQ318" t="s">
        <v>74</v>
      </c>
      <c r="AR318" t="s">
        <v>853</v>
      </c>
      <c r="AS318" t="s">
        <v>854</v>
      </c>
      <c r="AT318" t="s">
        <v>4100</v>
      </c>
      <c r="AU318">
        <v>1999</v>
      </c>
      <c r="AV318">
        <v>367</v>
      </c>
      <c r="AW318">
        <v>6</v>
      </c>
      <c r="AX318" t="s">
        <v>74</v>
      </c>
      <c r="AY318" t="s">
        <v>74</v>
      </c>
      <c r="AZ318" t="s">
        <v>74</v>
      </c>
      <c r="BA318" t="s">
        <v>74</v>
      </c>
      <c r="BB318">
        <v>824</v>
      </c>
      <c r="BC318">
        <v>828</v>
      </c>
      <c r="BD318" t="s">
        <v>74</v>
      </c>
      <c r="BE318" t="s">
        <v>74</v>
      </c>
      <c r="BF318" t="s">
        <v>74</v>
      </c>
      <c r="BG318" t="s">
        <v>74</v>
      </c>
      <c r="BH318" t="s">
        <v>74</v>
      </c>
      <c r="BI318">
        <v>5</v>
      </c>
      <c r="BJ318" t="s">
        <v>303</v>
      </c>
      <c r="BK318" t="s">
        <v>96</v>
      </c>
      <c r="BL318" t="s">
        <v>304</v>
      </c>
      <c r="BM318" t="s">
        <v>4463</v>
      </c>
      <c r="BN318" t="s">
        <v>74</v>
      </c>
      <c r="BO318" t="s">
        <v>74</v>
      </c>
      <c r="BP318" t="s">
        <v>74</v>
      </c>
      <c r="BQ318" t="s">
        <v>74</v>
      </c>
      <c r="BR318" t="s">
        <v>99</v>
      </c>
      <c r="BS318" t="s">
        <v>4464</v>
      </c>
      <c r="BT318" t="str">
        <f>HYPERLINK("https%3A%2F%2Fwww.webofscience.com%2Fwos%2Fwoscc%2Ffull-record%2FWOS:000084579900027","View Full Record in Web of Science")</f>
        <v>View Full Record in Web of Science</v>
      </c>
    </row>
    <row r="319" spans="1:72" x14ac:dyDescent="0.15">
      <c r="A319" t="s">
        <v>72</v>
      </c>
      <c r="B319" t="s">
        <v>4465</v>
      </c>
      <c r="C319" t="s">
        <v>74</v>
      </c>
      <c r="D319" t="s">
        <v>74</v>
      </c>
      <c r="E319" t="s">
        <v>74</v>
      </c>
      <c r="F319" t="s">
        <v>4465</v>
      </c>
      <c r="G319" t="s">
        <v>74</v>
      </c>
      <c r="H319" t="s">
        <v>74</v>
      </c>
      <c r="I319" t="s">
        <v>4466</v>
      </c>
      <c r="J319" t="s">
        <v>4467</v>
      </c>
      <c r="K319" t="s">
        <v>74</v>
      </c>
      <c r="L319" t="s">
        <v>74</v>
      </c>
      <c r="M319" t="s">
        <v>77</v>
      </c>
      <c r="N319" t="s">
        <v>254</v>
      </c>
      <c r="O319" t="s">
        <v>74</v>
      </c>
      <c r="P319" t="s">
        <v>74</v>
      </c>
      <c r="Q319" t="s">
        <v>74</v>
      </c>
      <c r="R319" t="s">
        <v>74</v>
      </c>
      <c r="S319" t="s">
        <v>74</v>
      </c>
      <c r="T319" t="s">
        <v>4468</v>
      </c>
      <c r="U319" t="s">
        <v>4469</v>
      </c>
      <c r="V319" t="s">
        <v>4470</v>
      </c>
      <c r="W319" t="s">
        <v>4471</v>
      </c>
      <c r="X319" t="s">
        <v>4472</v>
      </c>
      <c r="Y319" t="s">
        <v>4473</v>
      </c>
      <c r="Z319" t="s">
        <v>4474</v>
      </c>
      <c r="AA319" t="s">
        <v>4475</v>
      </c>
      <c r="AB319" t="s">
        <v>4476</v>
      </c>
      <c r="AC319" t="s">
        <v>74</v>
      </c>
      <c r="AD319" t="s">
        <v>74</v>
      </c>
      <c r="AE319" t="s">
        <v>74</v>
      </c>
      <c r="AF319" t="s">
        <v>74</v>
      </c>
      <c r="AG319">
        <v>101</v>
      </c>
      <c r="AH319">
        <v>38</v>
      </c>
      <c r="AI319">
        <v>44</v>
      </c>
      <c r="AJ319">
        <v>3</v>
      </c>
      <c r="AK319">
        <v>22</v>
      </c>
      <c r="AL319" t="s">
        <v>4477</v>
      </c>
      <c r="AM319" t="s">
        <v>2555</v>
      </c>
      <c r="AN319" t="s">
        <v>4478</v>
      </c>
      <c r="AO319" t="s">
        <v>4479</v>
      </c>
      <c r="AP319" t="s">
        <v>4480</v>
      </c>
      <c r="AQ319" t="s">
        <v>74</v>
      </c>
      <c r="AR319" t="s">
        <v>4467</v>
      </c>
      <c r="AS319" t="s">
        <v>4481</v>
      </c>
      <c r="AT319" t="s">
        <v>4100</v>
      </c>
      <c r="AU319">
        <v>1999</v>
      </c>
      <c r="AV319">
        <v>3</v>
      </c>
      <c r="AW319">
        <v>3</v>
      </c>
      <c r="AX319" t="s">
        <v>74</v>
      </c>
      <c r="AY319" t="s">
        <v>74</v>
      </c>
      <c r="AZ319" t="s">
        <v>74</v>
      </c>
      <c r="BA319" t="s">
        <v>74</v>
      </c>
      <c r="BB319">
        <v>205</v>
      </c>
      <c r="BC319">
        <v>219</v>
      </c>
      <c r="BD319" t="s">
        <v>74</v>
      </c>
      <c r="BE319" t="s">
        <v>74</v>
      </c>
      <c r="BF319" t="s">
        <v>74</v>
      </c>
      <c r="BG319" t="s">
        <v>74</v>
      </c>
      <c r="BH319" t="s">
        <v>74</v>
      </c>
      <c r="BI319">
        <v>15</v>
      </c>
      <c r="BJ319" t="s">
        <v>4482</v>
      </c>
      <c r="BK319" t="s">
        <v>96</v>
      </c>
      <c r="BL319" t="s">
        <v>4482</v>
      </c>
      <c r="BM319" t="s">
        <v>4483</v>
      </c>
      <c r="BN319">
        <v>10484177</v>
      </c>
      <c r="BO319" t="s">
        <v>74</v>
      </c>
      <c r="BP319" t="s">
        <v>74</v>
      </c>
      <c r="BQ319" t="s">
        <v>74</v>
      </c>
      <c r="BR319" t="s">
        <v>99</v>
      </c>
      <c r="BS319" t="s">
        <v>4484</v>
      </c>
      <c r="BT319" t="str">
        <f>HYPERLINK("https%3A%2F%2Fwww.webofscience.com%2Fwos%2Fwoscc%2Ffull-record%2FWOS:000082107000006","View Full Record in Web of Science")</f>
        <v>View Full Record in Web of Science</v>
      </c>
    </row>
    <row r="320" spans="1:72" x14ac:dyDescent="0.15">
      <c r="A320" t="s">
        <v>72</v>
      </c>
      <c r="B320" t="s">
        <v>4485</v>
      </c>
      <c r="C320" t="s">
        <v>74</v>
      </c>
      <c r="D320" t="s">
        <v>74</v>
      </c>
      <c r="E320" t="s">
        <v>74</v>
      </c>
      <c r="F320" t="s">
        <v>4485</v>
      </c>
      <c r="G320" t="s">
        <v>74</v>
      </c>
      <c r="H320" t="s">
        <v>74</v>
      </c>
      <c r="I320" t="s">
        <v>4486</v>
      </c>
      <c r="J320" t="s">
        <v>4467</v>
      </c>
      <c r="K320" t="s">
        <v>74</v>
      </c>
      <c r="L320" t="s">
        <v>74</v>
      </c>
      <c r="M320" t="s">
        <v>77</v>
      </c>
      <c r="N320" t="s">
        <v>78</v>
      </c>
      <c r="O320" t="s">
        <v>74</v>
      </c>
      <c r="P320" t="s">
        <v>74</v>
      </c>
      <c r="Q320" t="s">
        <v>74</v>
      </c>
      <c r="R320" t="s">
        <v>74</v>
      </c>
      <c r="S320" t="s">
        <v>74</v>
      </c>
      <c r="T320" t="s">
        <v>4487</v>
      </c>
      <c r="U320" t="s">
        <v>4488</v>
      </c>
      <c r="V320" t="s">
        <v>4489</v>
      </c>
      <c r="W320" t="s">
        <v>4490</v>
      </c>
      <c r="X320" t="s">
        <v>4491</v>
      </c>
      <c r="Y320" t="s">
        <v>4492</v>
      </c>
      <c r="Z320" t="s">
        <v>74</v>
      </c>
      <c r="AA320" t="s">
        <v>74</v>
      </c>
      <c r="AB320" t="s">
        <v>74</v>
      </c>
      <c r="AC320" t="s">
        <v>74</v>
      </c>
      <c r="AD320" t="s">
        <v>74</v>
      </c>
      <c r="AE320" t="s">
        <v>74</v>
      </c>
      <c r="AF320" t="s">
        <v>74</v>
      </c>
      <c r="AG320">
        <v>19</v>
      </c>
      <c r="AH320">
        <v>21</v>
      </c>
      <c r="AI320">
        <v>24</v>
      </c>
      <c r="AJ320">
        <v>1</v>
      </c>
      <c r="AK320">
        <v>11</v>
      </c>
      <c r="AL320" t="s">
        <v>553</v>
      </c>
      <c r="AM320" t="s">
        <v>554</v>
      </c>
      <c r="AN320" t="s">
        <v>555</v>
      </c>
      <c r="AO320" t="s">
        <v>4479</v>
      </c>
      <c r="AP320" t="s">
        <v>74</v>
      </c>
      <c r="AQ320" t="s">
        <v>74</v>
      </c>
      <c r="AR320" t="s">
        <v>4467</v>
      </c>
      <c r="AS320" t="s">
        <v>4481</v>
      </c>
      <c r="AT320" t="s">
        <v>4100</v>
      </c>
      <c r="AU320">
        <v>1999</v>
      </c>
      <c r="AV320">
        <v>3</v>
      </c>
      <c r="AW320">
        <v>3</v>
      </c>
      <c r="AX320" t="s">
        <v>74</v>
      </c>
      <c r="AY320" t="s">
        <v>74</v>
      </c>
      <c r="AZ320" t="s">
        <v>74</v>
      </c>
      <c r="BA320" t="s">
        <v>74</v>
      </c>
      <c r="BB320">
        <v>221</v>
      </c>
      <c r="BC320">
        <v>226</v>
      </c>
      <c r="BD320" t="s">
        <v>74</v>
      </c>
      <c r="BE320" t="s">
        <v>4493</v>
      </c>
      <c r="BF320" t="str">
        <f>HYPERLINK("http://dx.doi.org/10.1007/s007920050119","http://dx.doi.org/10.1007/s007920050119")</f>
        <v>http://dx.doi.org/10.1007/s007920050119</v>
      </c>
      <c r="BG320" t="s">
        <v>74</v>
      </c>
      <c r="BH320" t="s">
        <v>74</v>
      </c>
      <c r="BI320">
        <v>6</v>
      </c>
      <c r="BJ320" t="s">
        <v>4482</v>
      </c>
      <c r="BK320" t="s">
        <v>96</v>
      </c>
      <c r="BL320" t="s">
        <v>4482</v>
      </c>
      <c r="BM320" t="s">
        <v>4483</v>
      </c>
      <c r="BN320">
        <v>10484178</v>
      </c>
      <c r="BO320" t="s">
        <v>74</v>
      </c>
      <c r="BP320" t="s">
        <v>74</v>
      </c>
      <c r="BQ320" t="s">
        <v>74</v>
      </c>
      <c r="BR320" t="s">
        <v>99</v>
      </c>
      <c r="BS320" t="s">
        <v>4494</v>
      </c>
      <c r="BT320" t="str">
        <f>HYPERLINK("https%3A%2F%2Fwww.webofscience.com%2Fwos%2Fwoscc%2Ffull-record%2FWOS:000082107000007","View Full Record in Web of Science")</f>
        <v>View Full Record in Web of Science</v>
      </c>
    </row>
    <row r="321" spans="1:72" x14ac:dyDescent="0.15">
      <c r="A321" t="s">
        <v>72</v>
      </c>
      <c r="B321" t="s">
        <v>4495</v>
      </c>
      <c r="C321" t="s">
        <v>74</v>
      </c>
      <c r="D321" t="s">
        <v>74</v>
      </c>
      <c r="E321" t="s">
        <v>74</v>
      </c>
      <c r="F321" t="s">
        <v>4495</v>
      </c>
      <c r="G321" t="s">
        <v>74</v>
      </c>
      <c r="H321" t="s">
        <v>74</v>
      </c>
      <c r="I321" t="s">
        <v>4496</v>
      </c>
      <c r="J321" t="s">
        <v>889</v>
      </c>
      <c r="K321" t="s">
        <v>74</v>
      </c>
      <c r="L321" t="s">
        <v>74</v>
      </c>
      <c r="M321" t="s">
        <v>77</v>
      </c>
      <c r="N321" t="s">
        <v>78</v>
      </c>
      <c r="O321" t="s">
        <v>74</v>
      </c>
      <c r="P321" t="s">
        <v>74</v>
      </c>
      <c r="Q321" t="s">
        <v>74</v>
      </c>
      <c r="R321" t="s">
        <v>74</v>
      </c>
      <c r="S321" t="s">
        <v>74</v>
      </c>
      <c r="T321" t="s">
        <v>74</v>
      </c>
      <c r="U321" t="s">
        <v>4497</v>
      </c>
      <c r="V321" t="s">
        <v>4498</v>
      </c>
      <c r="W321" t="s">
        <v>4499</v>
      </c>
      <c r="X321" t="s">
        <v>4500</v>
      </c>
      <c r="Y321" t="s">
        <v>4501</v>
      </c>
      <c r="Z321" t="s">
        <v>74</v>
      </c>
      <c r="AA321" t="s">
        <v>4502</v>
      </c>
      <c r="AB321" t="s">
        <v>4503</v>
      </c>
      <c r="AC321" t="s">
        <v>74</v>
      </c>
      <c r="AD321" t="s">
        <v>74</v>
      </c>
      <c r="AE321" t="s">
        <v>74</v>
      </c>
      <c r="AF321" t="s">
        <v>74</v>
      </c>
      <c r="AG321">
        <v>30</v>
      </c>
      <c r="AH321">
        <v>23</v>
      </c>
      <c r="AI321">
        <v>25</v>
      </c>
      <c r="AJ321">
        <v>0</v>
      </c>
      <c r="AK321">
        <v>10</v>
      </c>
      <c r="AL321" t="s">
        <v>896</v>
      </c>
      <c r="AM321" t="s">
        <v>589</v>
      </c>
      <c r="AN321" t="s">
        <v>897</v>
      </c>
      <c r="AO321" t="s">
        <v>898</v>
      </c>
      <c r="AP321" t="s">
        <v>74</v>
      </c>
      <c r="AQ321" t="s">
        <v>74</v>
      </c>
      <c r="AR321" t="s">
        <v>889</v>
      </c>
      <c r="AS321" t="s">
        <v>388</v>
      </c>
      <c r="AT321" t="s">
        <v>4100</v>
      </c>
      <c r="AU321">
        <v>1999</v>
      </c>
      <c r="AV321">
        <v>27</v>
      </c>
      <c r="AW321">
        <v>8</v>
      </c>
      <c r="AX321" t="s">
        <v>74</v>
      </c>
      <c r="AY321" t="s">
        <v>74</v>
      </c>
      <c r="AZ321" t="s">
        <v>74</v>
      </c>
      <c r="BA321" t="s">
        <v>74</v>
      </c>
      <c r="BB321">
        <v>683</v>
      </c>
      <c r="BC321">
        <v>686</v>
      </c>
      <c r="BD321" t="s">
        <v>74</v>
      </c>
      <c r="BE321" t="s">
        <v>4504</v>
      </c>
      <c r="BF321" t="str">
        <f>HYPERLINK("http://dx.doi.org/10.1130/0091-7613(1999)027&lt;0683:ADANTO&gt;2.3.CO;2","http://dx.doi.org/10.1130/0091-7613(1999)027&lt;0683:ADANTO&gt;2.3.CO;2")</f>
        <v>http://dx.doi.org/10.1130/0091-7613(1999)027&lt;0683:ADANTO&gt;2.3.CO;2</v>
      </c>
      <c r="BG321" t="s">
        <v>74</v>
      </c>
      <c r="BH321" t="s">
        <v>74</v>
      </c>
      <c r="BI321">
        <v>4</v>
      </c>
      <c r="BJ321" t="s">
        <v>388</v>
      </c>
      <c r="BK321" t="s">
        <v>96</v>
      </c>
      <c r="BL321" t="s">
        <v>388</v>
      </c>
      <c r="BM321" t="s">
        <v>4505</v>
      </c>
      <c r="BN321" t="s">
        <v>74</v>
      </c>
      <c r="BO321" t="s">
        <v>74</v>
      </c>
      <c r="BP321" t="s">
        <v>74</v>
      </c>
      <c r="BQ321" t="s">
        <v>74</v>
      </c>
      <c r="BR321" t="s">
        <v>99</v>
      </c>
      <c r="BS321" t="s">
        <v>4506</v>
      </c>
      <c r="BT321" t="str">
        <f>HYPERLINK("https%3A%2F%2Fwww.webofscience.com%2Fwos%2Fwoscc%2Ffull-record%2FWOS:000081729600003","View Full Record in Web of Science")</f>
        <v>View Full Record in Web of Science</v>
      </c>
    </row>
    <row r="322" spans="1:72" x14ac:dyDescent="0.15">
      <c r="A322" t="s">
        <v>72</v>
      </c>
      <c r="B322" t="s">
        <v>4507</v>
      </c>
      <c r="C322" t="s">
        <v>74</v>
      </c>
      <c r="D322" t="s">
        <v>74</v>
      </c>
      <c r="E322" t="s">
        <v>74</v>
      </c>
      <c r="F322" t="s">
        <v>4507</v>
      </c>
      <c r="G322" t="s">
        <v>74</v>
      </c>
      <c r="H322" t="s">
        <v>74</v>
      </c>
      <c r="I322" t="s">
        <v>4508</v>
      </c>
      <c r="J322" t="s">
        <v>4509</v>
      </c>
      <c r="K322" t="s">
        <v>74</v>
      </c>
      <c r="L322" t="s">
        <v>74</v>
      </c>
      <c r="M322" t="s">
        <v>77</v>
      </c>
      <c r="N322" t="s">
        <v>78</v>
      </c>
      <c r="O322" t="s">
        <v>74</v>
      </c>
      <c r="P322" t="s">
        <v>74</v>
      </c>
      <c r="Q322" t="s">
        <v>74</v>
      </c>
      <c r="R322" t="s">
        <v>74</v>
      </c>
      <c r="S322" t="s">
        <v>74</v>
      </c>
      <c r="T322" t="s">
        <v>4510</v>
      </c>
      <c r="U322" t="s">
        <v>4511</v>
      </c>
      <c r="V322" t="s">
        <v>4512</v>
      </c>
      <c r="W322" t="s">
        <v>4513</v>
      </c>
      <c r="X322" t="s">
        <v>131</v>
      </c>
      <c r="Y322" t="s">
        <v>4514</v>
      </c>
      <c r="Z322" t="s">
        <v>74</v>
      </c>
      <c r="AA322" t="s">
        <v>74</v>
      </c>
      <c r="AB322" t="s">
        <v>74</v>
      </c>
      <c r="AC322" t="s">
        <v>74</v>
      </c>
      <c r="AD322" t="s">
        <v>74</v>
      </c>
      <c r="AE322" t="s">
        <v>74</v>
      </c>
      <c r="AF322" t="s">
        <v>74</v>
      </c>
      <c r="AG322">
        <v>59</v>
      </c>
      <c r="AH322">
        <v>60</v>
      </c>
      <c r="AI322">
        <v>61</v>
      </c>
      <c r="AJ322">
        <v>0</v>
      </c>
      <c r="AK322">
        <v>6</v>
      </c>
      <c r="AL322" t="s">
        <v>863</v>
      </c>
      <c r="AM322" t="s">
        <v>276</v>
      </c>
      <c r="AN322" t="s">
        <v>864</v>
      </c>
      <c r="AO322" t="s">
        <v>4515</v>
      </c>
      <c r="AP322" t="s">
        <v>74</v>
      </c>
      <c r="AQ322" t="s">
        <v>74</v>
      </c>
      <c r="AR322" t="s">
        <v>4516</v>
      </c>
      <c r="AS322" t="s">
        <v>4517</v>
      </c>
      <c r="AT322" t="s">
        <v>4100</v>
      </c>
      <c r="AU322">
        <v>1999</v>
      </c>
      <c r="AV322">
        <v>36</v>
      </c>
      <c r="AW322">
        <v>4</v>
      </c>
      <c r="AX322" t="s">
        <v>74</v>
      </c>
      <c r="AY322" t="s">
        <v>74</v>
      </c>
      <c r="AZ322" t="s">
        <v>74</v>
      </c>
      <c r="BA322" t="s">
        <v>74</v>
      </c>
      <c r="BB322">
        <v>591</v>
      </c>
      <c r="BC322">
        <v>603</v>
      </c>
      <c r="BD322" t="s">
        <v>74</v>
      </c>
      <c r="BE322" t="s">
        <v>4518</v>
      </c>
      <c r="BF322" t="str">
        <f>HYPERLINK("http://dx.doi.org/10.1046/j.1365-2664.1999.00425.x","http://dx.doi.org/10.1046/j.1365-2664.1999.00425.x")</f>
        <v>http://dx.doi.org/10.1046/j.1365-2664.1999.00425.x</v>
      </c>
      <c r="BG322" t="s">
        <v>74</v>
      </c>
      <c r="BH322" t="s">
        <v>74</v>
      </c>
      <c r="BI322">
        <v>13</v>
      </c>
      <c r="BJ322" t="s">
        <v>1383</v>
      </c>
      <c r="BK322" t="s">
        <v>96</v>
      </c>
      <c r="BL322" t="s">
        <v>1384</v>
      </c>
      <c r="BM322" t="s">
        <v>4519</v>
      </c>
      <c r="BN322" t="s">
        <v>74</v>
      </c>
      <c r="BO322" t="s">
        <v>250</v>
      </c>
      <c r="BP322" t="s">
        <v>74</v>
      </c>
      <c r="BQ322" t="s">
        <v>74</v>
      </c>
      <c r="BR322" t="s">
        <v>99</v>
      </c>
      <c r="BS322" t="s">
        <v>4520</v>
      </c>
      <c r="BT322" t="str">
        <f>HYPERLINK("https%3A%2F%2Fwww.webofscience.com%2Fwos%2Fwoscc%2Ffull-record%2FWOS:000082642300012","View Full Record in Web of Science")</f>
        <v>View Full Record in Web of Science</v>
      </c>
    </row>
    <row r="323" spans="1:72" x14ac:dyDescent="0.15">
      <c r="A323" t="s">
        <v>72</v>
      </c>
      <c r="B323" t="s">
        <v>4521</v>
      </c>
      <c r="C323" t="s">
        <v>74</v>
      </c>
      <c r="D323" t="s">
        <v>74</v>
      </c>
      <c r="E323" t="s">
        <v>74</v>
      </c>
      <c r="F323" t="s">
        <v>4521</v>
      </c>
      <c r="G323" t="s">
        <v>74</v>
      </c>
      <c r="H323" t="s">
        <v>74</v>
      </c>
      <c r="I323" t="s">
        <v>4522</v>
      </c>
      <c r="J323" t="s">
        <v>4523</v>
      </c>
      <c r="K323" t="s">
        <v>74</v>
      </c>
      <c r="L323" t="s">
        <v>74</v>
      </c>
      <c r="M323" t="s">
        <v>77</v>
      </c>
      <c r="N323" t="s">
        <v>78</v>
      </c>
      <c r="O323" t="s">
        <v>74</v>
      </c>
      <c r="P323" t="s">
        <v>74</v>
      </c>
      <c r="Q323" t="s">
        <v>74</v>
      </c>
      <c r="R323" t="s">
        <v>74</v>
      </c>
      <c r="S323" t="s">
        <v>74</v>
      </c>
      <c r="T323" t="s">
        <v>4524</v>
      </c>
      <c r="U323" t="s">
        <v>4525</v>
      </c>
      <c r="V323" t="s">
        <v>4526</v>
      </c>
      <c r="W323" t="s">
        <v>4527</v>
      </c>
      <c r="X323" t="s">
        <v>4528</v>
      </c>
      <c r="Y323" t="s">
        <v>4529</v>
      </c>
      <c r="Z323" t="s">
        <v>74</v>
      </c>
      <c r="AA323" t="s">
        <v>4530</v>
      </c>
      <c r="AB323" t="s">
        <v>4531</v>
      </c>
      <c r="AC323" t="s">
        <v>74</v>
      </c>
      <c r="AD323" t="s">
        <v>74</v>
      </c>
      <c r="AE323" t="s">
        <v>74</v>
      </c>
      <c r="AF323" t="s">
        <v>74</v>
      </c>
      <c r="AG323">
        <v>50</v>
      </c>
      <c r="AH323">
        <v>10</v>
      </c>
      <c r="AI323">
        <v>14</v>
      </c>
      <c r="AJ323">
        <v>0</v>
      </c>
      <c r="AK323">
        <v>3</v>
      </c>
      <c r="AL323" t="s">
        <v>4532</v>
      </c>
      <c r="AM323" t="s">
        <v>2555</v>
      </c>
      <c r="AN323" t="s">
        <v>4533</v>
      </c>
      <c r="AO323" t="s">
        <v>4534</v>
      </c>
      <c r="AP323" t="s">
        <v>74</v>
      </c>
      <c r="AQ323" t="s">
        <v>74</v>
      </c>
      <c r="AR323" t="s">
        <v>4535</v>
      </c>
      <c r="AS323" t="s">
        <v>4536</v>
      </c>
      <c r="AT323" t="s">
        <v>4100</v>
      </c>
      <c r="AU323">
        <v>1999</v>
      </c>
      <c r="AV323">
        <v>126</v>
      </c>
      <c r="AW323">
        <v>2</v>
      </c>
      <c r="AX323" t="s">
        <v>74</v>
      </c>
      <c r="AY323" t="s">
        <v>74</v>
      </c>
      <c r="AZ323" t="s">
        <v>74</v>
      </c>
      <c r="BA323" t="s">
        <v>74</v>
      </c>
      <c r="BB323">
        <v>387</v>
      </c>
      <c r="BC323">
        <v>394</v>
      </c>
      <c r="BD323" t="s">
        <v>74</v>
      </c>
      <c r="BE323" t="s">
        <v>4537</v>
      </c>
      <c r="BF323" t="str">
        <f>HYPERLINK("http://dx.doi.org/10.1093/oxfordjournals.jbchem.a022462","http://dx.doi.org/10.1093/oxfordjournals.jbchem.a022462")</f>
        <v>http://dx.doi.org/10.1093/oxfordjournals.jbchem.a022462</v>
      </c>
      <c r="BG323" t="s">
        <v>74</v>
      </c>
      <c r="BH323" t="s">
        <v>74</v>
      </c>
      <c r="BI323">
        <v>8</v>
      </c>
      <c r="BJ323" t="s">
        <v>3233</v>
      </c>
      <c r="BK323" t="s">
        <v>96</v>
      </c>
      <c r="BL323" t="s">
        <v>3233</v>
      </c>
      <c r="BM323" t="s">
        <v>4538</v>
      </c>
      <c r="BN323">
        <v>10423534</v>
      </c>
      <c r="BO323" t="s">
        <v>74</v>
      </c>
      <c r="BP323" t="s">
        <v>74</v>
      </c>
      <c r="BQ323" t="s">
        <v>74</v>
      </c>
      <c r="BR323" t="s">
        <v>99</v>
      </c>
      <c r="BS323" t="s">
        <v>4539</v>
      </c>
      <c r="BT323" t="str">
        <f>HYPERLINK("https%3A%2F%2Fwww.webofscience.com%2Fwos%2Fwoscc%2Ffull-record%2FWOS:000082011700020","View Full Record in Web of Science")</f>
        <v>View Full Record in Web of Science</v>
      </c>
    </row>
    <row r="324" spans="1:72" x14ac:dyDescent="0.15">
      <c r="A324" t="s">
        <v>72</v>
      </c>
      <c r="B324" t="s">
        <v>4540</v>
      </c>
      <c r="C324" t="s">
        <v>74</v>
      </c>
      <c r="D324" t="s">
        <v>74</v>
      </c>
      <c r="E324" t="s">
        <v>74</v>
      </c>
      <c r="F324" t="s">
        <v>4540</v>
      </c>
      <c r="G324" t="s">
        <v>74</v>
      </c>
      <c r="H324" t="s">
        <v>74</v>
      </c>
      <c r="I324" t="s">
        <v>4541</v>
      </c>
      <c r="J324" t="s">
        <v>2235</v>
      </c>
      <c r="K324" t="s">
        <v>74</v>
      </c>
      <c r="L324" t="s">
        <v>74</v>
      </c>
      <c r="M324" t="s">
        <v>77</v>
      </c>
      <c r="N324" t="s">
        <v>78</v>
      </c>
      <c r="O324" t="s">
        <v>74</v>
      </c>
      <c r="P324" t="s">
        <v>74</v>
      </c>
      <c r="Q324" t="s">
        <v>74</v>
      </c>
      <c r="R324" t="s">
        <v>74</v>
      </c>
      <c r="S324" t="s">
        <v>74</v>
      </c>
      <c r="T324" t="s">
        <v>74</v>
      </c>
      <c r="U324" t="s">
        <v>4542</v>
      </c>
      <c r="V324" t="s">
        <v>4543</v>
      </c>
      <c r="W324" t="s">
        <v>4544</v>
      </c>
      <c r="X324" t="s">
        <v>4545</v>
      </c>
      <c r="Y324" t="s">
        <v>4546</v>
      </c>
      <c r="Z324" t="s">
        <v>4547</v>
      </c>
      <c r="AA324" t="s">
        <v>4548</v>
      </c>
      <c r="AB324" t="s">
        <v>4549</v>
      </c>
      <c r="AC324" t="s">
        <v>74</v>
      </c>
      <c r="AD324" t="s">
        <v>74</v>
      </c>
      <c r="AE324" t="s">
        <v>74</v>
      </c>
      <c r="AF324" t="s">
        <v>74</v>
      </c>
      <c r="AG324">
        <v>57</v>
      </c>
      <c r="AH324">
        <v>282</v>
      </c>
      <c r="AI324">
        <v>309</v>
      </c>
      <c r="AJ324">
        <v>1</v>
      </c>
      <c r="AK324">
        <v>42</v>
      </c>
      <c r="AL324" t="s">
        <v>86</v>
      </c>
      <c r="AM324" t="s">
        <v>87</v>
      </c>
      <c r="AN324" t="s">
        <v>88</v>
      </c>
      <c r="AO324" t="s">
        <v>2242</v>
      </c>
      <c r="AP324" t="s">
        <v>4550</v>
      </c>
      <c r="AQ324" t="s">
        <v>74</v>
      </c>
      <c r="AR324" t="s">
        <v>2243</v>
      </c>
      <c r="AS324" t="s">
        <v>2244</v>
      </c>
      <c r="AT324" t="s">
        <v>4100</v>
      </c>
      <c r="AU324">
        <v>1999</v>
      </c>
      <c r="AV324">
        <v>12</v>
      </c>
      <c r="AW324">
        <v>8</v>
      </c>
      <c r="AX324">
        <v>1</v>
      </c>
      <c r="AY324" t="s">
        <v>74</v>
      </c>
      <c r="AZ324" t="s">
        <v>74</v>
      </c>
      <c r="BA324" t="s">
        <v>74</v>
      </c>
      <c r="BB324">
        <v>2169</v>
      </c>
      <c r="BC324">
        <v>2188</v>
      </c>
      <c r="BD324" t="s">
        <v>74</v>
      </c>
      <c r="BE324" t="s">
        <v>4551</v>
      </c>
      <c r="BF324" t="str">
        <f>HYPERLINK("http://dx.doi.org/10.1175/1520-0442(1999)012&lt;2169:TDROTG&gt;2.0.CO;2","http://dx.doi.org/10.1175/1520-0442(1999)012&lt;2169:TDROTG&gt;2.0.CO;2")</f>
        <v>http://dx.doi.org/10.1175/1520-0442(1999)012&lt;2169:TDROTG&gt;2.0.CO;2</v>
      </c>
      <c r="BG324" t="s">
        <v>74</v>
      </c>
      <c r="BH324" t="s">
        <v>74</v>
      </c>
      <c r="BI324">
        <v>20</v>
      </c>
      <c r="BJ324" t="s">
        <v>95</v>
      </c>
      <c r="BK324" t="s">
        <v>96</v>
      </c>
      <c r="BL324" t="s">
        <v>95</v>
      </c>
      <c r="BM324" t="s">
        <v>4552</v>
      </c>
      <c r="BN324" t="s">
        <v>74</v>
      </c>
      <c r="BO324" t="s">
        <v>1505</v>
      </c>
      <c r="BP324" t="s">
        <v>74</v>
      </c>
      <c r="BQ324" t="s">
        <v>74</v>
      </c>
      <c r="BR324" t="s">
        <v>99</v>
      </c>
      <c r="BS324" t="s">
        <v>4553</v>
      </c>
      <c r="BT324" t="str">
        <f>HYPERLINK("https%3A%2F%2Fwww.webofscience.com%2Fwos%2Fwoscc%2Ffull-record%2FWOS:000082364100003","View Full Record in Web of Science")</f>
        <v>View Full Record in Web of Science</v>
      </c>
    </row>
    <row r="325" spans="1:72" x14ac:dyDescent="0.15">
      <c r="A325" t="s">
        <v>72</v>
      </c>
      <c r="B325" t="s">
        <v>4554</v>
      </c>
      <c r="C325" t="s">
        <v>74</v>
      </c>
      <c r="D325" t="s">
        <v>74</v>
      </c>
      <c r="E325" t="s">
        <v>74</v>
      </c>
      <c r="F325" t="s">
        <v>4554</v>
      </c>
      <c r="G325" t="s">
        <v>74</v>
      </c>
      <c r="H325" t="s">
        <v>74</v>
      </c>
      <c r="I325" t="s">
        <v>4555</v>
      </c>
      <c r="J325" t="s">
        <v>2235</v>
      </c>
      <c r="K325" t="s">
        <v>74</v>
      </c>
      <c r="L325" t="s">
        <v>74</v>
      </c>
      <c r="M325" t="s">
        <v>77</v>
      </c>
      <c r="N325" t="s">
        <v>254</v>
      </c>
      <c r="O325" t="s">
        <v>74</v>
      </c>
      <c r="P325" t="s">
        <v>74</v>
      </c>
      <c r="Q325" t="s">
        <v>74</v>
      </c>
      <c r="R325" t="s">
        <v>74</v>
      </c>
      <c r="S325" t="s">
        <v>74</v>
      </c>
      <c r="T325" t="s">
        <v>74</v>
      </c>
      <c r="U325" t="s">
        <v>4556</v>
      </c>
      <c r="V325" t="s">
        <v>4557</v>
      </c>
      <c r="W325" t="s">
        <v>4558</v>
      </c>
      <c r="X325" t="s">
        <v>4559</v>
      </c>
      <c r="Y325" t="s">
        <v>4560</v>
      </c>
      <c r="Z325" t="s">
        <v>74</v>
      </c>
      <c r="AA325" t="s">
        <v>4561</v>
      </c>
      <c r="AB325" t="s">
        <v>4562</v>
      </c>
      <c r="AC325" t="s">
        <v>74</v>
      </c>
      <c r="AD325" t="s">
        <v>74</v>
      </c>
      <c r="AE325" t="s">
        <v>74</v>
      </c>
      <c r="AF325" t="s">
        <v>74</v>
      </c>
      <c r="AG325">
        <v>105</v>
      </c>
      <c r="AH325">
        <v>137</v>
      </c>
      <c r="AI325">
        <v>144</v>
      </c>
      <c r="AJ325">
        <v>4</v>
      </c>
      <c r="AK325">
        <v>20</v>
      </c>
      <c r="AL325" t="s">
        <v>86</v>
      </c>
      <c r="AM325" t="s">
        <v>87</v>
      </c>
      <c r="AN325" t="s">
        <v>88</v>
      </c>
      <c r="AO325" t="s">
        <v>2242</v>
      </c>
      <c r="AP325" t="s">
        <v>74</v>
      </c>
      <c r="AQ325" t="s">
        <v>74</v>
      </c>
      <c r="AR325" t="s">
        <v>2243</v>
      </c>
      <c r="AS325" t="s">
        <v>2244</v>
      </c>
      <c r="AT325" t="s">
        <v>4100</v>
      </c>
      <c r="AU325">
        <v>1999</v>
      </c>
      <c r="AV325">
        <v>12</v>
      </c>
      <c r="AW325">
        <v>8</v>
      </c>
      <c r="AX325">
        <v>1</v>
      </c>
      <c r="AY325" t="s">
        <v>74</v>
      </c>
      <c r="AZ325" t="s">
        <v>74</v>
      </c>
      <c r="BA325" t="s">
        <v>74</v>
      </c>
      <c r="BB325">
        <v>2285</v>
      </c>
      <c r="BC325">
        <v>2299</v>
      </c>
      <c r="BD325" t="s">
        <v>74</v>
      </c>
      <c r="BE325" t="s">
        <v>4563</v>
      </c>
      <c r="BF325" t="str">
        <f>HYPERLINK("http://dx.doi.org/10.1175/1520-0442(1999)012&lt;2285:DPOCVI&gt;2.0.CO;2","http://dx.doi.org/10.1175/1520-0442(1999)012&lt;2285:DPOCVI&gt;2.0.CO;2")</f>
        <v>http://dx.doi.org/10.1175/1520-0442(1999)012&lt;2285:DPOCVI&gt;2.0.CO;2</v>
      </c>
      <c r="BG325" t="s">
        <v>74</v>
      </c>
      <c r="BH325" t="s">
        <v>74</v>
      </c>
      <c r="BI325">
        <v>15</v>
      </c>
      <c r="BJ325" t="s">
        <v>95</v>
      </c>
      <c r="BK325" t="s">
        <v>96</v>
      </c>
      <c r="BL325" t="s">
        <v>95</v>
      </c>
      <c r="BM325" t="s">
        <v>4552</v>
      </c>
      <c r="BN325" t="s">
        <v>74</v>
      </c>
      <c r="BO325" t="s">
        <v>98</v>
      </c>
      <c r="BP325" t="s">
        <v>74</v>
      </c>
      <c r="BQ325" t="s">
        <v>74</v>
      </c>
      <c r="BR325" t="s">
        <v>99</v>
      </c>
      <c r="BS325" t="s">
        <v>4564</v>
      </c>
      <c r="BT325" t="str">
        <f>HYPERLINK("https%3A%2F%2Fwww.webofscience.com%2Fwos%2Fwoscc%2Ffull-record%2FWOS:000082364100009","View Full Record in Web of Science")</f>
        <v>View Full Record in Web of Science</v>
      </c>
    </row>
    <row r="326" spans="1:72" x14ac:dyDescent="0.15">
      <c r="A326" t="s">
        <v>72</v>
      </c>
      <c r="B326" t="s">
        <v>4565</v>
      </c>
      <c r="C326" t="s">
        <v>74</v>
      </c>
      <c r="D326" t="s">
        <v>74</v>
      </c>
      <c r="E326" t="s">
        <v>74</v>
      </c>
      <c r="F326" t="s">
        <v>4565</v>
      </c>
      <c r="G326" t="s">
        <v>74</v>
      </c>
      <c r="H326" t="s">
        <v>74</v>
      </c>
      <c r="I326" t="s">
        <v>4566</v>
      </c>
      <c r="J326" t="s">
        <v>4567</v>
      </c>
      <c r="K326" t="s">
        <v>74</v>
      </c>
      <c r="L326" t="s">
        <v>74</v>
      </c>
      <c r="M326" t="s">
        <v>77</v>
      </c>
      <c r="N326" t="s">
        <v>78</v>
      </c>
      <c r="O326" t="s">
        <v>74</v>
      </c>
      <c r="P326" t="s">
        <v>74</v>
      </c>
      <c r="Q326" t="s">
        <v>74</v>
      </c>
      <c r="R326" t="s">
        <v>74</v>
      </c>
      <c r="S326" t="s">
        <v>74</v>
      </c>
      <c r="T326" t="s">
        <v>4568</v>
      </c>
      <c r="U326" t="s">
        <v>74</v>
      </c>
      <c r="V326" t="s">
        <v>4569</v>
      </c>
      <c r="W326" t="s">
        <v>4570</v>
      </c>
      <c r="X326" t="s">
        <v>4571</v>
      </c>
      <c r="Y326" t="s">
        <v>4572</v>
      </c>
      <c r="Z326" t="s">
        <v>74</v>
      </c>
      <c r="AA326" t="s">
        <v>74</v>
      </c>
      <c r="AB326" t="s">
        <v>74</v>
      </c>
      <c r="AC326" t="s">
        <v>74</v>
      </c>
      <c r="AD326" t="s">
        <v>74</v>
      </c>
      <c r="AE326" t="s">
        <v>74</v>
      </c>
      <c r="AF326" t="s">
        <v>74</v>
      </c>
      <c r="AG326">
        <v>32</v>
      </c>
      <c r="AH326">
        <v>2</v>
      </c>
      <c r="AI326">
        <v>2</v>
      </c>
      <c r="AJ326">
        <v>0</v>
      </c>
      <c r="AK326">
        <v>2</v>
      </c>
      <c r="AL326" t="s">
        <v>530</v>
      </c>
      <c r="AM326" t="s">
        <v>531</v>
      </c>
      <c r="AN326" t="s">
        <v>532</v>
      </c>
      <c r="AO326" t="s">
        <v>4573</v>
      </c>
      <c r="AP326" t="s">
        <v>4574</v>
      </c>
      <c r="AQ326" t="s">
        <v>74</v>
      </c>
      <c r="AR326" t="s">
        <v>4575</v>
      </c>
      <c r="AS326" t="s">
        <v>4576</v>
      </c>
      <c r="AT326" t="s">
        <v>4100</v>
      </c>
      <c r="AU326">
        <v>1999</v>
      </c>
      <c r="AV326">
        <v>56</v>
      </c>
      <c r="AW326">
        <v>4</v>
      </c>
      <c r="AX326" t="s">
        <v>74</v>
      </c>
      <c r="AY326" t="s">
        <v>74</v>
      </c>
      <c r="AZ326" t="s">
        <v>74</v>
      </c>
      <c r="BA326" t="s">
        <v>74</v>
      </c>
      <c r="BB326">
        <v>285</v>
      </c>
      <c r="BC326">
        <v>298</v>
      </c>
      <c r="BD326" t="s">
        <v>74</v>
      </c>
      <c r="BE326" t="s">
        <v>4577</v>
      </c>
      <c r="BF326" t="str">
        <f>HYPERLINK("http://dx.doi.org/10.1006/jema.1999.0279","http://dx.doi.org/10.1006/jema.1999.0279")</f>
        <v>http://dx.doi.org/10.1006/jema.1999.0279</v>
      </c>
      <c r="BG326" t="s">
        <v>74</v>
      </c>
      <c r="BH326" t="s">
        <v>74</v>
      </c>
      <c r="BI326">
        <v>14</v>
      </c>
      <c r="BJ326" t="s">
        <v>760</v>
      </c>
      <c r="BK326" t="s">
        <v>96</v>
      </c>
      <c r="BL326" t="s">
        <v>761</v>
      </c>
      <c r="BM326" t="s">
        <v>4578</v>
      </c>
      <c r="BN326" t="s">
        <v>74</v>
      </c>
      <c r="BO326" t="s">
        <v>74</v>
      </c>
      <c r="BP326" t="s">
        <v>74</v>
      </c>
      <c r="BQ326" t="s">
        <v>74</v>
      </c>
      <c r="BR326" t="s">
        <v>99</v>
      </c>
      <c r="BS326" t="s">
        <v>4579</v>
      </c>
      <c r="BT326" t="str">
        <f>HYPERLINK("https%3A%2F%2Fwww.webofscience.com%2Fwos%2Fwoscc%2Ffull-record%2FWOS:000082238000005","View Full Record in Web of Science")</f>
        <v>View Full Record in Web of Science</v>
      </c>
    </row>
    <row r="327" spans="1:72" x14ac:dyDescent="0.15">
      <c r="A327" t="s">
        <v>72</v>
      </c>
      <c r="B327" t="s">
        <v>4580</v>
      </c>
      <c r="C327" t="s">
        <v>74</v>
      </c>
      <c r="D327" t="s">
        <v>74</v>
      </c>
      <c r="E327" t="s">
        <v>74</v>
      </c>
      <c r="F327" t="s">
        <v>4580</v>
      </c>
      <c r="G327" t="s">
        <v>74</v>
      </c>
      <c r="H327" t="s">
        <v>74</v>
      </c>
      <c r="I327" t="s">
        <v>4581</v>
      </c>
      <c r="J327" t="s">
        <v>3508</v>
      </c>
      <c r="K327" t="s">
        <v>74</v>
      </c>
      <c r="L327" t="s">
        <v>74</v>
      </c>
      <c r="M327" t="s">
        <v>77</v>
      </c>
      <c r="N327" t="s">
        <v>78</v>
      </c>
      <c r="O327" t="s">
        <v>74</v>
      </c>
      <c r="P327" t="s">
        <v>74</v>
      </c>
      <c r="Q327" t="s">
        <v>74</v>
      </c>
      <c r="R327" t="s">
        <v>74</v>
      </c>
      <c r="S327" t="s">
        <v>74</v>
      </c>
      <c r="T327" t="s">
        <v>4582</v>
      </c>
      <c r="U327" t="s">
        <v>4583</v>
      </c>
      <c r="V327" t="s">
        <v>4584</v>
      </c>
      <c r="W327" t="s">
        <v>4585</v>
      </c>
      <c r="X327" t="s">
        <v>4044</v>
      </c>
      <c r="Y327" t="s">
        <v>4586</v>
      </c>
      <c r="Z327" t="s">
        <v>74</v>
      </c>
      <c r="AA327" t="s">
        <v>74</v>
      </c>
      <c r="AB327" t="s">
        <v>74</v>
      </c>
      <c r="AC327" t="s">
        <v>74</v>
      </c>
      <c r="AD327" t="s">
        <v>74</v>
      </c>
      <c r="AE327" t="s">
        <v>74</v>
      </c>
      <c r="AF327" t="s">
        <v>74</v>
      </c>
      <c r="AG327">
        <v>44</v>
      </c>
      <c r="AH327">
        <v>73</v>
      </c>
      <c r="AI327">
        <v>83</v>
      </c>
      <c r="AJ327">
        <v>2</v>
      </c>
      <c r="AK327">
        <v>28</v>
      </c>
      <c r="AL327" t="s">
        <v>3516</v>
      </c>
      <c r="AM327" t="s">
        <v>2505</v>
      </c>
      <c r="AN327" t="s">
        <v>3517</v>
      </c>
      <c r="AO327" t="s">
        <v>3518</v>
      </c>
      <c r="AP327" t="s">
        <v>74</v>
      </c>
      <c r="AQ327" t="s">
        <v>74</v>
      </c>
      <c r="AR327" t="s">
        <v>3519</v>
      </c>
      <c r="AS327" t="s">
        <v>3520</v>
      </c>
      <c r="AT327" t="s">
        <v>4100</v>
      </c>
      <c r="AU327">
        <v>1999</v>
      </c>
      <c r="AV327">
        <v>202</v>
      </c>
      <c r="AW327">
        <v>15</v>
      </c>
      <c r="AX327" t="s">
        <v>74</v>
      </c>
      <c r="AY327" t="s">
        <v>74</v>
      </c>
      <c r="AZ327" t="s">
        <v>74</v>
      </c>
      <c r="BA327" t="s">
        <v>74</v>
      </c>
      <c r="BB327">
        <v>2041</v>
      </c>
      <c r="BC327">
        <v>2050</v>
      </c>
      <c r="BD327" t="s">
        <v>74</v>
      </c>
      <c r="BE327" t="s">
        <v>74</v>
      </c>
      <c r="BF327" t="s">
        <v>74</v>
      </c>
      <c r="BG327" t="s">
        <v>74</v>
      </c>
      <c r="BH327" t="s">
        <v>74</v>
      </c>
      <c r="BI327">
        <v>10</v>
      </c>
      <c r="BJ327" t="s">
        <v>3521</v>
      </c>
      <c r="BK327" t="s">
        <v>96</v>
      </c>
      <c r="BL327" t="s">
        <v>3522</v>
      </c>
      <c r="BM327" t="s">
        <v>4587</v>
      </c>
      <c r="BN327">
        <v>10393819</v>
      </c>
      <c r="BO327" t="s">
        <v>74</v>
      </c>
      <c r="BP327" t="s">
        <v>74</v>
      </c>
      <c r="BQ327" t="s">
        <v>74</v>
      </c>
      <c r="BR327" t="s">
        <v>99</v>
      </c>
      <c r="BS327" t="s">
        <v>4588</v>
      </c>
      <c r="BT327" t="str">
        <f>HYPERLINK("https%3A%2F%2Fwww.webofscience.com%2Fwos%2Fwoscc%2Ffull-record%2FWOS:000082123000005","View Full Record in Web of Science")</f>
        <v>View Full Record in Web of Science</v>
      </c>
    </row>
    <row r="328" spans="1:72" x14ac:dyDescent="0.15">
      <c r="A328" t="s">
        <v>72</v>
      </c>
      <c r="B328" t="s">
        <v>4589</v>
      </c>
      <c r="C328" t="s">
        <v>74</v>
      </c>
      <c r="D328" t="s">
        <v>74</v>
      </c>
      <c r="E328" t="s">
        <v>74</v>
      </c>
      <c r="F328" t="s">
        <v>4589</v>
      </c>
      <c r="G328" t="s">
        <v>74</v>
      </c>
      <c r="H328" t="s">
        <v>74</v>
      </c>
      <c r="I328" t="s">
        <v>4590</v>
      </c>
      <c r="J328" t="s">
        <v>3508</v>
      </c>
      <c r="K328" t="s">
        <v>74</v>
      </c>
      <c r="L328" t="s">
        <v>74</v>
      </c>
      <c r="M328" t="s">
        <v>77</v>
      </c>
      <c r="N328" t="s">
        <v>78</v>
      </c>
      <c r="O328" t="s">
        <v>74</v>
      </c>
      <c r="P328" t="s">
        <v>74</v>
      </c>
      <c r="Q328" t="s">
        <v>74</v>
      </c>
      <c r="R328" t="s">
        <v>74</v>
      </c>
      <c r="S328" t="s">
        <v>74</v>
      </c>
      <c r="T328" t="s">
        <v>4591</v>
      </c>
      <c r="U328" t="s">
        <v>4592</v>
      </c>
      <c r="V328" t="s">
        <v>4593</v>
      </c>
      <c r="W328" t="s">
        <v>4585</v>
      </c>
      <c r="X328" t="s">
        <v>4044</v>
      </c>
      <c r="Y328" t="s">
        <v>4594</v>
      </c>
      <c r="Z328" t="s">
        <v>4595</v>
      </c>
      <c r="AA328" t="s">
        <v>74</v>
      </c>
      <c r="AB328" t="s">
        <v>74</v>
      </c>
      <c r="AC328" t="s">
        <v>74</v>
      </c>
      <c r="AD328" t="s">
        <v>74</v>
      </c>
      <c r="AE328" t="s">
        <v>74</v>
      </c>
      <c r="AF328" t="s">
        <v>74</v>
      </c>
      <c r="AG328">
        <v>26</v>
      </c>
      <c r="AH328">
        <v>24</v>
      </c>
      <c r="AI328">
        <v>28</v>
      </c>
      <c r="AJ328">
        <v>1</v>
      </c>
      <c r="AK328">
        <v>10</v>
      </c>
      <c r="AL328" t="s">
        <v>4596</v>
      </c>
      <c r="AM328" t="s">
        <v>2505</v>
      </c>
      <c r="AN328" t="s">
        <v>4597</v>
      </c>
      <c r="AO328" t="s">
        <v>3518</v>
      </c>
      <c r="AP328" t="s">
        <v>4598</v>
      </c>
      <c r="AQ328" t="s">
        <v>74</v>
      </c>
      <c r="AR328" t="s">
        <v>3519</v>
      </c>
      <c r="AS328" t="s">
        <v>3520</v>
      </c>
      <c r="AT328" t="s">
        <v>4100</v>
      </c>
      <c r="AU328">
        <v>1999</v>
      </c>
      <c r="AV328">
        <v>202</v>
      </c>
      <c r="AW328">
        <v>15</v>
      </c>
      <c r="AX328" t="s">
        <v>74</v>
      </c>
      <c r="AY328" t="s">
        <v>74</v>
      </c>
      <c r="AZ328" t="s">
        <v>74</v>
      </c>
      <c r="BA328" t="s">
        <v>74</v>
      </c>
      <c r="BB328">
        <v>2051</v>
      </c>
      <c r="BC328">
        <v>2058</v>
      </c>
      <c r="BD328" t="s">
        <v>74</v>
      </c>
      <c r="BE328" t="s">
        <v>74</v>
      </c>
      <c r="BF328" t="s">
        <v>74</v>
      </c>
      <c r="BG328" t="s">
        <v>74</v>
      </c>
      <c r="BH328" t="s">
        <v>74</v>
      </c>
      <c r="BI328">
        <v>8</v>
      </c>
      <c r="BJ328" t="s">
        <v>3521</v>
      </c>
      <c r="BK328" t="s">
        <v>96</v>
      </c>
      <c r="BL328" t="s">
        <v>3522</v>
      </c>
      <c r="BM328" t="s">
        <v>4587</v>
      </c>
      <c r="BN328">
        <v>10393820</v>
      </c>
      <c r="BO328" t="s">
        <v>74</v>
      </c>
      <c r="BP328" t="s">
        <v>74</v>
      </c>
      <c r="BQ328" t="s">
        <v>74</v>
      </c>
      <c r="BR328" t="s">
        <v>99</v>
      </c>
      <c r="BS328" t="s">
        <v>4599</v>
      </c>
      <c r="BT328" t="str">
        <f>HYPERLINK("https%3A%2F%2Fwww.webofscience.com%2Fwos%2Fwoscc%2Ffull-record%2FWOS:000082123000006","View Full Record in Web of Science")</f>
        <v>View Full Record in Web of Science</v>
      </c>
    </row>
    <row r="329" spans="1:72" x14ac:dyDescent="0.15">
      <c r="A329" t="s">
        <v>72</v>
      </c>
      <c r="B329" t="s">
        <v>4600</v>
      </c>
      <c r="C329" t="s">
        <v>74</v>
      </c>
      <c r="D329" t="s">
        <v>74</v>
      </c>
      <c r="E329" t="s">
        <v>74</v>
      </c>
      <c r="F329" t="s">
        <v>4600</v>
      </c>
      <c r="G329" t="s">
        <v>74</v>
      </c>
      <c r="H329" t="s">
        <v>74</v>
      </c>
      <c r="I329" t="s">
        <v>4601</v>
      </c>
      <c r="J329" t="s">
        <v>4602</v>
      </c>
      <c r="K329" t="s">
        <v>74</v>
      </c>
      <c r="L329" t="s">
        <v>74</v>
      </c>
      <c r="M329" t="s">
        <v>77</v>
      </c>
      <c r="N329" t="s">
        <v>78</v>
      </c>
      <c r="O329" t="s">
        <v>74</v>
      </c>
      <c r="P329" t="s">
        <v>74</v>
      </c>
      <c r="Q329" t="s">
        <v>74</v>
      </c>
      <c r="R329" t="s">
        <v>74</v>
      </c>
      <c r="S329" t="s">
        <v>74</v>
      </c>
      <c r="T329" t="s">
        <v>74</v>
      </c>
      <c r="U329" t="s">
        <v>4603</v>
      </c>
      <c r="V329" t="s">
        <v>4604</v>
      </c>
      <c r="W329" t="s">
        <v>4605</v>
      </c>
      <c r="X329" t="s">
        <v>4606</v>
      </c>
      <c r="Y329" t="s">
        <v>4607</v>
      </c>
      <c r="Z329" t="s">
        <v>4608</v>
      </c>
      <c r="AA329" t="s">
        <v>74</v>
      </c>
      <c r="AB329" t="s">
        <v>4609</v>
      </c>
      <c r="AC329" t="s">
        <v>74</v>
      </c>
      <c r="AD329" t="s">
        <v>74</v>
      </c>
      <c r="AE329" t="s">
        <v>74</v>
      </c>
      <c r="AF329" t="s">
        <v>74</v>
      </c>
      <c r="AG329">
        <v>49</v>
      </c>
      <c r="AH329">
        <v>10</v>
      </c>
      <c r="AI329">
        <v>11</v>
      </c>
      <c r="AJ329">
        <v>0</v>
      </c>
      <c r="AK329">
        <v>2</v>
      </c>
      <c r="AL329" t="s">
        <v>1884</v>
      </c>
      <c r="AM329" t="s">
        <v>998</v>
      </c>
      <c r="AN329" t="s">
        <v>4610</v>
      </c>
      <c r="AO329" t="s">
        <v>4611</v>
      </c>
      <c r="AP329" t="s">
        <v>74</v>
      </c>
      <c r="AQ329" t="s">
        <v>74</v>
      </c>
      <c r="AR329" t="s">
        <v>4612</v>
      </c>
      <c r="AS329" t="s">
        <v>4613</v>
      </c>
      <c r="AT329" t="s">
        <v>4614</v>
      </c>
      <c r="AU329">
        <v>1999</v>
      </c>
      <c r="AV329">
        <v>284</v>
      </c>
      <c r="AW329">
        <v>3</v>
      </c>
      <c r="AX329" t="s">
        <v>74</v>
      </c>
      <c r="AY329" t="s">
        <v>74</v>
      </c>
      <c r="AZ329" t="s">
        <v>74</v>
      </c>
      <c r="BA329" t="s">
        <v>74</v>
      </c>
      <c r="BB329">
        <v>276</v>
      </c>
      <c r="BC329">
        <v>285</v>
      </c>
      <c r="BD329" t="s">
        <v>74</v>
      </c>
      <c r="BE329" t="s">
        <v>4615</v>
      </c>
      <c r="BF329" t="str">
        <f>HYPERLINK("http://dx.doi.org/10.1002/(SICI)1097-010X(19990801)284:3&lt;276::AID-JEZ5&gt;3.0.CO;2-N","http://dx.doi.org/10.1002/(SICI)1097-010X(19990801)284:3&lt;276::AID-JEZ5&gt;3.0.CO;2-N")</f>
        <v>http://dx.doi.org/10.1002/(SICI)1097-010X(19990801)284:3&lt;276::AID-JEZ5&gt;3.0.CO;2-N</v>
      </c>
      <c r="BG329" t="s">
        <v>74</v>
      </c>
      <c r="BH329" t="s">
        <v>74</v>
      </c>
      <c r="BI329">
        <v>10</v>
      </c>
      <c r="BJ329" t="s">
        <v>142</v>
      </c>
      <c r="BK329" t="s">
        <v>96</v>
      </c>
      <c r="BL329" t="s">
        <v>142</v>
      </c>
      <c r="BM329" t="s">
        <v>4616</v>
      </c>
      <c r="BN329">
        <v>10404119</v>
      </c>
      <c r="BO329" t="s">
        <v>74</v>
      </c>
      <c r="BP329" t="s">
        <v>74</v>
      </c>
      <c r="BQ329" t="s">
        <v>74</v>
      </c>
      <c r="BR329" t="s">
        <v>99</v>
      </c>
      <c r="BS329" t="s">
        <v>4617</v>
      </c>
      <c r="BT329" t="str">
        <f>HYPERLINK("https%3A%2F%2Fwww.webofscience.com%2Fwos%2Fwoscc%2Ffull-record%2FWOS:000081319700005","View Full Record in Web of Science")</f>
        <v>View Full Record in Web of Science</v>
      </c>
    </row>
    <row r="330" spans="1:72" x14ac:dyDescent="0.15">
      <c r="A330" t="s">
        <v>72</v>
      </c>
      <c r="B330" t="s">
        <v>4618</v>
      </c>
      <c r="C330" t="s">
        <v>74</v>
      </c>
      <c r="D330" t="s">
        <v>74</v>
      </c>
      <c r="E330" t="s">
        <v>74</v>
      </c>
      <c r="F330" t="s">
        <v>4618</v>
      </c>
      <c r="G330" t="s">
        <v>74</v>
      </c>
      <c r="H330" t="s">
        <v>74</v>
      </c>
      <c r="I330" t="s">
        <v>4619</v>
      </c>
      <c r="J330" t="s">
        <v>1063</v>
      </c>
      <c r="K330" t="s">
        <v>74</v>
      </c>
      <c r="L330" t="s">
        <v>74</v>
      </c>
      <c r="M330" t="s">
        <v>77</v>
      </c>
      <c r="N330" t="s">
        <v>78</v>
      </c>
      <c r="O330" t="s">
        <v>74</v>
      </c>
      <c r="P330" t="s">
        <v>74</v>
      </c>
      <c r="Q330" t="s">
        <v>74</v>
      </c>
      <c r="R330" t="s">
        <v>74</v>
      </c>
      <c r="S330" t="s">
        <v>74</v>
      </c>
      <c r="T330" t="s">
        <v>74</v>
      </c>
      <c r="U330" t="s">
        <v>4620</v>
      </c>
      <c r="V330" t="s">
        <v>4621</v>
      </c>
      <c r="W330" t="s">
        <v>4622</v>
      </c>
      <c r="X330" t="s">
        <v>4623</v>
      </c>
      <c r="Y330" t="s">
        <v>4624</v>
      </c>
      <c r="Z330" t="s">
        <v>4625</v>
      </c>
      <c r="AA330" t="s">
        <v>4626</v>
      </c>
      <c r="AB330" t="s">
        <v>4627</v>
      </c>
      <c r="AC330" t="s">
        <v>74</v>
      </c>
      <c r="AD330" t="s">
        <v>74</v>
      </c>
      <c r="AE330" t="s">
        <v>74</v>
      </c>
      <c r="AF330" t="s">
        <v>74</v>
      </c>
      <c r="AG330">
        <v>58</v>
      </c>
      <c r="AH330">
        <v>39</v>
      </c>
      <c r="AI330">
        <v>43</v>
      </c>
      <c r="AJ330">
        <v>0</v>
      </c>
      <c r="AK330">
        <v>7</v>
      </c>
      <c r="AL330" t="s">
        <v>230</v>
      </c>
      <c r="AM330" t="s">
        <v>231</v>
      </c>
      <c r="AN330" t="s">
        <v>232</v>
      </c>
      <c r="AO330" t="s">
        <v>1070</v>
      </c>
      <c r="AP330" t="s">
        <v>1071</v>
      </c>
      <c r="AQ330" t="s">
        <v>74</v>
      </c>
      <c r="AR330" t="s">
        <v>1072</v>
      </c>
      <c r="AS330" t="s">
        <v>1073</v>
      </c>
      <c r="AT330" t="s">
        <v>4614</v>
      </c>
      <c r="AU330">
        <v>1999</v>
      </c>
      <c r="AV330">
        <v>104</v>
      </c>
      <c r="AW330" t="s">
        <v>4628</v>
      </c>
      <c r="AX330" t="s">
        <v>74</v>
      </c>
      <c r="AY330" t="s">
        <v>74</v>
      </c>
      <c r="AZ330" t="s">
        <v>74</v>
      </c>
      <c r="BA330" t="s">
        <v>74</v>
      </c>
      <c r="BB330">
        <v>17173</v>
      </c>
      <c r="BC330">
        <v>17186</v>
      </c>
      <c r="BD330" t="s">
        <v>74</v>
      </c>
      <c r="BE330" t="s">
        <v>4629</v>
      </c>
      <c r="BF330" t="str">
        <f>HYPERLINK("http://dx.doi.org/10.1029/1999JA900117","http://dx.doi.org/10.1029/1999JA900117")</f>
        <v>http://dx.doi.org/10.1029/1999JA900117</v>
      </c>
      <c r="BG330" t="s">
        <v>74</v>
      </c>
      <c r="BH330" t="s">
        <v>74</v>
      </c>
      <c r="BI330">
        <v>14</v>
      </c>
      <c r="BJ330" t="s">
        <v>1076</v>
      </c>
      <c r="BK330" t="s">
        <v>96</v>
      </c>
      <c r="BL330" t="s">
        <v>1076</v>
      </c>
      <c r="BM330" t="s">
        <v>4630</v>
      </c>
      <c r="BN330" t="s">
        <v>74</v>
      </c>
      <c r="BO330" t="s">
        <v>250</v>
      </c>
      <c r="BP330" t="s">
        <v>74</v>
      </c>
      <c r="BQ330" t="s">
        <v>74</v>
      </c>
      <c r="BR330" t="s">
        <v>99</v>
      </c>
      <c r="BS330" t="s">
        <v>4631</v>
      </c>
      <c r="BT330" t="str">
        <f>HYPERLINK("https%3A%2F%2Fwww.webofscience.com%2Fwos%2Fwoscc%2Ffull-record%2FWOS:000081790700017","View Full Record in Web of Science")</f>
        <v>View Full Record in Web of Science</v>
      </c>
    </row>
    <row r="331" spans="1:72" x14ac:dyDescent="0.15">
      <c r="A331" t="s">
        <v>72</v>
      </c>
      <c r="B331" t="s">
        <v>4632</v>
      </c>
      <c r="C331" t="s">
        <v>74</v>
      </c>
      <c r="D331" t="s">
        <v>74</v>
      </c>
      <c r="E331" t="s">
        <v>74</v>
      </c>
      <c r="F331" t="s">
        <v>4632</v>
      </c>
      <c r="G331" t="s">
        <v>74</v>
      </c>
      <c r="H331" t="s">
        <v>74</v>
      </c>
      <c r="I331" t="s">
        <v>4633</v>
      </c>
      <c r="J331" t="s">
        <v>1063</v>
      </c>
      <c r="K331" t="s">
        <v>74</v>
      </c>
      <c r="L331" t="s">
        <v>74</v>
      </c>
      <c r="M331" t="s">
        <v>77</v>
      </c>
      <c r="N331" t="s">
        <v>78</v>
      </c>
      <c r="O331" t="s">
        <v>74</v>
      </c>
      <c r="P331" t="s">
        <v>74</v>
      </c>
      <c r="Q331" t="s">
        <v>74</v>
      </c>
      <c r="R331" t="s">
        <v>74</v>
      </c>
      <c r="S331" t="s">
        <v>74</v>
      </c>
      <c r="T331" t="s">
        <v>74</v>
      </c>
      <c r="U331" t="s">
        <v>4634</v>
      </c>
      <c r="V331" t="s">
        <v>4635</v>
      </c>
      <c r="W331" t="s">
        <v>4636</v>
      </c>
      <c r="X331" t="s">
        <v>4637</v>
      </c>
      <c r="Y331" t="s">
        <v>4638</v>
      </c>
      <c r="Z331" t="s">
        <v>4639</v>
      </c>
      <c r="AA331" t="s">
        <v>4640</v>
      </c>
      <c r="AB331" t="s">
        <v>4641</v>
      </c>
      <c r="AC331" t="s">
        <v>74</v>
      </c>
      <c r="AD331" t="s">
        <v>74</v>
      </c>
      <c r="AE331" t="s">
        <v>74</v>
      </c>
      <c r="AF331" t="s">
        <v>74</v>
      </c>
      <c r="AG331">
        <v>38</v>
      </c>
      <c r="AH331">
        <v>17</v>
      </c>
      <c r="AI331">
        <v>17</v>
      </c>
      <c r="AJ331">
        <v>0</v>
      </c>
      <c r="AK331">
        <v>0</v>
      </c>
      <c r="AL331" t="s">
        <v>230</v>
      </c>
      <c r="AM331" t="s">
        <v>231</v>
      </c>
      <c r="AN331" t="s">
        <v>232</v>
      </c>
      <c r="AO331" t="s">
        <v>1070</v>
      </c>
      <c r="AP331" t="s">
        <v>1071</v>
      </c>
      <c r="AQ331" t="s">
        <v>74</v>
      </c>
      <c r="AR331" t="s">
        <v>1072</v>
      </c>
      <c r="AS331" t="s">
        <v>1073</v>
      </c>
      <c r="AT331" t="s">
        <v>4614</v>
      </c>
      <c r="AU331">
        <v>1999</v>
      </c>
      <c r="AV331">
        <v>104</v>
      </c>
      <c r="AW331" t="s">
        <v>4628</v>
      </c>
      <c r="AX331" t="s">
        <v>74</v>
      </c>
      <c r="AY331" t="s">
        <v>74</v>
      </c>
      <c r="AZ331" t="s">
        <v>74</v>
      </c>
      <c r="BA331" t="s">
        <v>74</v>
      </c>
      <c r="BB331">
        <v>17299</v>
      </c>
      <c r="BC331">
        <v>17310</v>
      </c>
      <c r="BD331" t="s">
        <v>74</v>
      </c>
      <c r="BE331" t="s">
        <v>4642</v>
      </c>
      <c r="BF331" t="str">
        <f>HYPERLINK("http://dx.doi.org/10.1029/1999JA900166","http://dx.doi.org/10.1029/1999JA900166")</f>
        <v>http://dx.doi.org/10.1029/1999JA900166</v>
      </c>
      <c r="BG331" t="s">
        <v>74</v>
      </c>
      <c r="BH331" t="s">
        <v>74</v>
      </c>
      <c r="BI331">
        <v>12</v>
      </c>
      <c r="BJ331" t="s">
        <v>1076</v>
      </c>
      <c r="BK331" t="s">
        <v>96</v>
      </c>
      <c r="BL331" t="s">
        <v>1076</v>
      </c>
      <c r="BM331" t="s">
        <v>4630</v>
      </c>
      <c r="BN331" t="s">
        <v>74</v>
      </c>
      <c r="BO331" t="s">
        <v>74</v>
      </c>
      <c r="BP331" t="s">
        <v>74</v>
      </c>
      <c r="BQ331" t="s">
        <v>74</v>
      </c>
      <c r="BR331" t="s">
        <v>99</v>
      </c>
      <c r="BS331" t="s">
        <v>4643</v>
      </c>
      <c r="BT331" t="str">
        <f>HYPERLINK("https%3A%2F%2Fwww.webofscience.com%2Fwos%2Fwoscc%2Ffull-record%2FWOS:000081790700027","View Full Record in Web of Science")</f>
        <v>View Full Record in Web of Science</v>
      </c>
    </row>
    <row r="332" spans="1:72" x14ac:dyDescent="0.15">
      <c r="A332" t="s">
        <v>72</v>
      </c>
      <c r="B332" t="s">
        <v>4644</v>
      </c>
      <c r="C332" t="s">
        <v>74</v>
      </c>
      <c r="D332" t="s">
        <v>74</v>
      </c>
      <c r="E332" t="s">
        <v>74</v>
      </c>
      <c r="F332" t="s">
        <v>4644</v>
      </c>
      <c r="G332" t="s">
        <v>74</v>
      </c>
      <c r="H332" t="s">
        <v>74</v>
      </c>
      <c r="I332" t="s">
        <v>4645</v>
      </c>
      <c r="J332" t="s">
        <v>1063</v>
      </c>
      <c r="K332" t="s">
        <v>74</v>
      </c>
      <c r="L332" t="s">
        <v>74</v>
      </c>
      <c r="M332" t="s">
        <v>77</v>
      </c>
      <c r="N332" t="s">
        <v>78</v>
      </c>
      <c r="O332" t="s">
        <v>74</v>
      </c>
      <c r="P332" t="s">
        <v>74</v>
      </c>
      <c r="Q332" t="s">
        <v>74</v>
      </c>
      <c r="R332" t="s">
        <v>74</v>
      </c>
      <c r="S332" t="s">
        <v>74</v>
      </c>
      <c r="T332" t="s">
        <v>74</v>
      </c>
      <c r="U332" t="s">
        <v>4646</v>
      </c>
      <c r="V332" t="s">
        <v>4647</v>
      </c>
      <c r="W332" t="s">
        <v>4648</v>
      </c>
      <c r="X332" t="s">
        <v>4649</v>
      </c>
      <c r="Y332" t="s">
        <v>4650</v>
      </c>
      <c r="Z332" t="s">
        <v>4651</v>
      </c>
      <c r="AA332" t="s">
        <v>945</v>
      </c>
      <c r="AB332" t="s">
        <v>946</v>
      </c>
      <c r="AC332" t="s">
        <v>74</v>
      </c>
      <c r="AD332" t="s">
        <v>74</v>
      </c>
      <c r="AE332" t="s">
        <v>74</v>
      </c>
      <c r="AF332" t="s">
        <v>74</v>
      </c>
      <c r="AG332">
        <v>17</v>
      </c>
      <c r="AH332">
        <v>21</v>
      </c>
      <c r="AI332">
        <v>22</v>
      </c>
      <c r="AJ332">
        <v>0</v>
      </c>
      <c r="AK332">
        <v>2</v>
      </c>
      <c r="AL332" t="s">
        <v>230</v>
      </c>
      <c r="AM332" t="s">
        <v>231</v>
      </c>
      <c r="AN332" t="s">
        <v>232</v>
      </c>
      <c r="AO332" t="s">
        <v>1070</v>
      </c>
      <c r="AP332" t="s">
        <v>1071</v>
      </c>
      <c r="AQ332" t="s">
        <v>74</v>
      </c>
      <c r="AR332" t="s">
        <v>1072</v>
      </c>
      <c r="AS332" t="s">
        <v>1073</v>
      </c>
      <c r="AT332" t="s">
        <v>4614</v>
      </c>
      <c r="AU332">
        <v>1999</v>
      </c>
      <c r="AV332">
        <v>104</v>
      </c>
      <c r="AW332" t="s">
        <v>4628</v>
      </c>
      <c r="AX332" t="s">
        <v>74</v>
      </c>
      <c r="AY332" t="s">
        <v>74</v>
      </c>
      <c r="AZ332" t="s">
        <v>74</v>
      </c>
      <c r="BA332" t="s">
        <v>74</v>
      </c>
      <c r="BB332">
        <v>17441</v>
      </c>
      <c r="BC332">
        <v>17447</v>
      </c>
      <c r="BD332" t="s">
        <v>74</v>
      </c>
      <c r="BE332" t="s">
        <v>4652</v>
      </c>
      <c r="BF332" t="str">
        <f>HYPERLINK("http://dx.doi.org/10.1029/1999JA900153","http://dx.doi.org/10.1029/1999JA900153")</f>
        <v>http://dx.doi.org/10.1029/1999JA900153</v>
      </c>
      <c r="BG332" t="s">
        <v>74</v>
      </c>
      <c r="BH332" t="s">
        <v>74</v>
      </c>
      <c r="BI332">
        <v>7</v>
      </c>
      <c r="BJ332" t="s">
        <v>1076</v>
      </c>
      <c r="BK332" t="s">
        <v>96</v>
      </c>
      <c r="BL332" t="s">
        <v>1076</v>
      </c>
      <c r="BM332" t="s">
        <v>4630</v>
      </c>
      <c r="BN332" t="s">
        <v>74</v>
      </c>
      <c r="BO332" t="s">
        <v>250</v>
      </c>
      <c r="BP332" t="s">
        <v>74</v>
      </c>
      <c r="BQ332" t="s">
        <v>74</v>
      </c>
      <c r="BR332" t="s">
        <v>99</v>
      </c>
      <c r="BS332" t="s">
        <v>4653</v>
      </c>
      <c r="BT332" t="str">
        <f>HYPERLINK("https%3A%2F%2Fwww.webofscience.com%2Fwos%2Fwoscc%2Ffull-record%2FWOS:000081790700038","View Full Record in Web of Science")</f>
        <v>View Full Record in Web of Science</v>
      </c>
    </row>
    <row r="333" spans="1:72" x14ac:dyDescent="0.15">
      <c r="A333" t="s">
        <v>72</v>
      </c>
      <c r="B333" t="s">
        <v>4654</v>
      </c>
      <c r="C333" t="s">
        <v>74</v>
      </c>
      <c r="D333" t="s">
        <v>74</v>
      </c>
      <c r="E333" t="s">
        <v>74</v>
      </c>
      <c r="F333" t="s">
        <v>4654</v>
      </c>
      <c r="G333" t="s">
        <v>74</v>
      </c>
      <c r="H333" t="s">
        <v>74</v>
      </c>
      <c r="I333" t="s">
        <v>4655</v>
      </c>
      <c r="J333" t="s">
        <v>1100</v>
      </c>
      <c r="K333" t="s">
        <v>74</v>
      </c>
      <c r="L333" t="s">
        <v>74</v>
      </c>
      <c r="M333" t="s">
        <v>77</v>
      </c>
      <c r="N333" t="s">
        <v>78</v>
      </c>
      <c r="O333" t="s">
        <v>74</v>
      </c>
      <c r="P333" t="s">
        <v>74</v>
      </c>
      <c r="Q333" t="s">
        <v>74</v>
      </c>
      <c r="R333" t="s">
        <v>74</v>
      </c>
      <c r="S333" t="s">
        <v>74</v>
      </c>
      <c r="T333" t="s">
        <v>74</v>
      </c>
      <c r="U333" t="s">
        <v>4656</v>
      </c>
      <c r="V333" t="s">
        <v>4657</v>
      </c>
      <c r="W333" t="s">
        <v>4658</v>
      </c>
      <c r="X333" t="s">
        <v>1222</v>
      </c>
      <c r="Y333" t="s">
        <v>2807</v>
      </c>
      <c r="Z333" t="s">
        <v>4659</v>
      </c>
      <c r="AA333" t="s">
        <v>4660</v>
      </c>
      <c r="AB333" t="s">
        <v>4661</v>
      </c>
      <c r="AC333" t="s">
        <v>74</v>
      </c>
      <c r="AD333" t="s">
        <v>74</v>
      </c>
      <c r="AE333" t="s">
        <v>74</v>
      </c>
      <c r="AF333" t="s">
        <v>74</v>
      </c>
      <c r="AG333">
        <v>25</v>
      </c>
      <c r="AH333">
        <v>17</v>
      </c>
      <c r="AI333">
        <v>18</v>
      </c>
      <c r="AJ333">
        <v>0</v>
      </c>
      <c r="AK333">
        <v>3</v>
      </c>
      <c r="AL333" t="s">
        <v>86</v>
      </c>
      <c r="AM333" t="s">
        <v>87</v>
      </c>
      <c r="AN333" t="s">
        <v>88</v>
      </c>
      <c r="AO333" t="s">
        <v>1106</v>
      </c>
      <c r="AP333" t="s">
        <v>2302</v>
      </c>
      <c r="AQ333" t="s">
        <v>74</v>
      </c>
      <c r="AR333" t="s">
        <v>1107</v>
      </c>
      <c r="AS333" t="s">
        <v>1108</v>
      </c>
      <c r="AT333" t="s">
        <v>4100</v>
      </c>
      <c r="AU333">
        <v>1999</v>
      </c>
      <c r="AV333">
        <v>29</v>
      </c>
      <c r="AW333">
        <v>8</v>
      </c>
      <c r="AX333">
        <v>1</v>
      </c>
      <c r="AY333" t="s">
        <v>74</v>
      </c>
      <c r="AZ333" t="s">
        <v>74</v>
      </c>
      <c r="BA333" t="s">
        <v>74</v>
      </c>
      <c r="BB333">
        <v>1666</v>
      </c>
      <c r="BC333">
        <v>1681</v>
      </c>
      <c r="BD333" t="s">
        <v>74</v>
      </c>
      <c r="BE333" t="s">
        <v>4662</v>
      </c>
      <c r="BF333" t="str">
        <f>HYPERLINK("http://dx.doi.org/10.1175/1520-0485(1999)029&lt;1666:MBIZFA&gt;2.0.CO;2","http://dx.doi.org/10.1175/1520-0485(1999)029&lt;1666:MBIZFA&gt;2.0.CO;2")</f>
        <v>http://dx.doi.org/10.1175/1520-0485(1999)029&lt;1666:MBIZFA&gt;2.0.CO;2</v>
      </c>
      <c r="BG333" t="s">
        <v>74</v>
      </c>
      <c r="BH333" t="s">
        <v>74</v>
      </c>
      <c r="BI333">
        <v>16</v>
      </c>
      <c r="BJ333" t="s">
        <v>416</v>
      </c>
      <c r="BK333" t="s">
        <v>96</v>
      </c>
      <c r="BL333" t="s">
        <v>416</v>
      </c>
      <c r="BM333" t="s">
        <v>4663</v>
      </c>
      <c r="BN333" t="s">
        <v>74</v>
      </c>
      <c r="BO333" t="s">
        <v>2824</v>
      </c>
      <c r="BP333" t="s">
        <v>74</v>
      </c>
      <c r="BQ333" t="s">
        <v>74</v>
      </c>
      <c r="BR333" t="s">
        <v>99</v>
      </c>
      <c r="BS333" t="s">
        <v>4664</v>
      </c>
      <c r="BT333" t="str">
        <f>HYPERLINK("https%3A%2F%2Fwww.webofscience.com%2Fwos%2Fwoscc%2Ffull-record%2FWOS:000082607300003","View Full Record in Web of Science")</f>
        <v>View Full Record in Web of Science</v>
      </c>
    </row>
    <row r="334" spans="1:72" x14ac:dyDescent="0.15">
      <c r="A334" t="s">
        <v>72</v>
      </c>
      <c r="B334" t="s">
        <v>4665</v>
      </c>
      <c r="C334" t="s">
        <v>74</v>
      </c>
      <c r="D334" t="s">
        <v>74</v>
      </c>
      <c r="E334" t="s">
        <v>74</v>
      </c>
      <c r="F334" t="s">
        <v>4665</v>
      </c>
      <c r="G334" t="s">
        <v>74</v>
      </c>
      <c r="H334" t="s">
        <v>74</v>
      </c>
      <c r="I334" t="s">
        <v>4666</v>
      </c>
      <c r="J334" t="s">
        <v>1100</v>
      </c>
      <c r="K334" t="s">
        <v>74</v>
      </c>
      <c r="L334" t="s">
        <v>74</v>
      </c>
      <c r="M334" t="s">
        <v>77</v>
      </c>
      <c r="N334" t="s">
        <v>78</v>
      </c>
      <c r="O334" t="s">
        <v>74</v>
      </c>
      <c r="P334" t="s">
        <v>74</v>
      </c>
      <c r="Q334" t="s">
        <v>74</v>
      </c>
      <c r="R334" t="s">
        <v>74</v>
      </c>
      <c r="S334" t="s">
        <v>74</v>
      </c>
      <c r="T334" t="s">
        <v>74</v>
      </c>
      <c r="U334" t="s">
        <v>4667</v>
      </c>
      <c r="V334" t="s">
        <v>4668</v>
      </c>
      <c r="W334" t="s">
        <v>4669</v>
      </c>
      <c r="X334" t="s">
        <v>4670</v>
      </c>
      <c r="Y334" t="s">
        <v>4671</v>
      </c>
      <c r="Z334" t="s">
        <v>74</v>
      </c>
      <c r="AA334" t="s">
        <v>3568</v>
      </c>
      <c r="AB334" t="s">
        <v>3569</v>
      </c>
      <c r="AC334" t="s">
        <v>74</v>
      </c>
      <c r="AD334" t="s">
        <v>74</v>
      </c>
      <c r="AE334" t="s">
        <v>74</v>
      </c>
      <c r="AF334" t="s">
        <v>74</v>
      </c>
      <c r="AG334">
        <v>47</v>
      </c>
      <c r="AH334">
        <v>414</v>
      </c>
      <c r="AI334">
        <v>432</v>
      </c>
      <c r="AJ334">
        <v>1</v>
      </c>
      <c r="AK334">
        <v>31</v>
      </c>
      <c r="AL334" t="s">
        <v>86</v>
      </c>
      <c r="AM334" t="s">
        <v>87</v>
      </c>
      <c r="AN334" t="s">
        <v>88</v>
      </c>
      <c r="AO334" t="s">
        <v>1106</v>
      </c>
      <c r="AP334" t="s">
        <v>74</v>
      </c>
      <c r="AQ334" t="s">
        <v>74</v>
      </c>
      <c r="AR334" t="s">
        <v>1107</v>
      </c>
      <c r="AS334" t="s">
        <v>1108</v>
      </c>
      <c r="AT334" t="s">
        <v>4100</v>
      </c>
      <c r="AU334">
        <v>1999</v>
      </c>
      <c r="AV334">
        <v>29</v>
      </c>
      <c r="AW334">
        <v>8</v>
      </c>
      <c r="AX334">
        <v>1</v>
      </c>
      <c r="AY334" t="s">
        <v>74</v>
      </c>
      <c r="AZ334" t="s">
        <v>74</v>
      </c>
      <c r="BA334" t="s">
        <v>74</v>
      </c>
      <c r="BB334">
        <v>1787</v>
      </c>
      <c r="BC334">
        <v>1800</v>
      </c>
      <c r="BD334" t="s">
        <v>74</v>
      </c>
      <c r="BE334" t="s">
        <v>4672</v>
      </c>
      <c r="BF334" t="str">
        <f>HYPERLINK("http://dx.doi.org/10.1175/1520-0485(1999)029&lt;1787:MTIOIA&gt;2.0.CO;2","http://dx.doi.org/10.1175/1520-0485(1999)029&lt;1787:MTIOIA&gt;2.0.CO;2")</f>
        <v>http://dx.doi.org/10.1175/1520-0485(1999)029&lt;1787:MTIOIA&gt;2.0.CO;2</v>
      </c>
      <c r="BG334" t="s">
        <v>74</v>
      </c>
      <c r="BH334" t="s">
        <v>74</v>
      </c>
      <c r="BI334">
        <v>14</v>
      </c>
      <c r="BJ334" t="s">
        <v>416</v>
      </c>
      <c r="BK334" t="s">
        <v>96</v>
      </c>
      <c r="BL334" t="s">
        <v>416</v>
      </c>
      <c r="BM334" t="s">
        <v>4663</v>
      </c>
      <c r="BN334" t="s">
        <v>74</v>
      </c>
      <c r="BO334" t="s">
        <v>98</v>
      </c>
      <c r="BP334" t="s">
        <v>74</v>
      </c>
      <c r="BQ334" t="s">
        <v>74</v>
      </c>
      <c r="BR334" t="s">
        <v>99</v>
      </c>
      <c r="BS334" t="s">
        <v>4673</v>
      </c>
      <c r="BT334" t="str">
        <f>HYPERLINK("https%3A%2F%2Fwww.webofscience.com%2Fwos%2Fwoscc%2Ffull-record%2FWOS:000082607300010","View Full Record in Web of Science")</f>
        <v>View Full Record in Web of Science</v>
      </c>
    </row>
    <row r="335" spans="1:72" x14ac:dyDescent="0.15">
      <c r="A335" t="s">
        <v>72</v>
      </c>
      <c r="B335" t="s">
        <v>4674</v>
      </c>
      <c r="C335" t="s">
        <v>74</v>
      </c>
      <c r="D335" t="s">
        <v>74</v>
      </c>
      <c r="E335" t="s">
        <v>74</v>
      </c>
      <c r="F335" t="s">
        <v>4674</v>
      </c>
      <c r="G335" t="s">
        <v>74</v>
      </c>
      <c r="H335" t="s">
        <v>74</v>
      </c>
      <c r="I335" t="s">
        <v>4675</v>
      </c>
      <c r="J335" t="s">
        <v>1100</v>
      </c>
      <c r="K335" t="s">
        <v>74</v>
      </c>
      <c r="L335" t="s">
        <v>74</v>
      </c>
      <c r="M335" t="s">
        <v>77</v>
      </c>
      <c r="N335" t="s">
        <v>78</v>
      </c>
      <c r="O335" t="s">
        <v>74</v>
      </c>
      <c r="P335" t="s">
        <v>74</v>
      </c>
      <c r="Q335" t="s">
        <v>74</v>
      </c>
      <c r="R335" t="s">
        <v>74</v>
      </c>
      <c r="S335" t="s">
        <v>74</v>
      </c>
      <c r="T335" t="s">
        <v>74</v>
      </c>
      <c r="U335" t="s">
        <v>4676</v>
      </c>
      <c r="V335" t="s">
        <v>4677</v>
      </c>
      <c r="W335" t="s">
        <v>4678</v>
      </c>
      <c r="X335" t="s">
        <v>4679</v>
      </c>
      <c r="Y335" t="s">
        <v>4680</v>
      </c>
      <c r="Z335" t="s">
        <v>4681</v>
      </c>
      <c r="AA335" t="s">
        <v>4682</v>
      </c>
      <c r="AB335" t="s">
        <v>4683</v>
      </c>
      <c r="AC335" t="s">
        <v>74</v>
      </c>
      <c r="AD335" t="s">
        <v>74</v>
      </c>
      <c r="AE335" t="s">
        <v>74</v>
      </c>
      <c r="AF335" t="s">
        <v>74</v>
      </c>
      <c r="AG335">
        <v>57</v>
      </c>
      <c r="AH335">
        <v>92</v>
      </c>
      <c r="AI335">
        <v>99</v>
      </c>
      <c r="AJ335">
        <v>4</v>
      </c>
      <c r="AK335">
        <v>16</v>
      </c>
      <c r="AL335" t="s">
        <v>86</v>
      </c>
      <c r="AM335" t="s">
        <v>87</v>
      </c>
      <c r="AN335" t="s">
        <v>88</v>
      </c>
      <c r="AO335" t="s">
        <v>1106</v>
      </c>
      <c r="AP335" t="s">
        <v>2302</v>
      </c>
      <c r="AQ335" t="s">
        <v>74</v>
      </c>
      <c r="AR335" t="s">
        <v>1107</v>
      </c>
      <c r="AS335" t="s">
        <v>1108</v>
      </c>
      <c r="AT335" t="s">
        <v>4100</v>
      </c>
      <c r="AU335">
        <v>1999</v>
      </c>
      <c r="AV335">
        <v>29</v>
      </c>
      <c r="AW335">
        <v>8</v>
      </c>
      <c r="AX335">
        <v>2</v>
      </c>
      <c r="AY335" t="s">
        <v>74</v>
      </c>
      <c r="AZ335" t="s">
        <v>74</v>
      </c>
      <c r="BA335" t="s">
        <v>74</v>
      </c>
      <c r="BB335">
        <v>1971</v>
      </c>
      <c r="BC335">
        <v>1992</v>
      </c>
      <c r="BD335" t="s">
        <v>74</v>
      </c>
      <c r="BE335" t="s">
        <v>4684</v>
      </c>
      <c r="BF335" t="str">
        <f>HYPERLINK("http://dx.doi.org/10.1175/1520-0485(1999)029&lt;1971:WDTFTD&gt;2.0.CO;2","http://dx.doi.org/10.1175/1520-0485(1999)029&lt;1971:WDTFTD&gt;2.0.CO;2")</f>
        <v>http://dx.doi.org/10.1175/1520-0485(1999)029&lt;1971:WDTFTD&gt;2.0.CO;2</v>
      </c>
      <c r="BG335" t="s">
        <v>74</v>
      </c>
      <c r="BH335" t="s">
        <v>74</v>
      </c>
      <c r="BI335">
        <v>22</v>
      </c>
      <c r="BJ335" t="s">
        <v>416</v>
      </c>
      <c r="BK335" t="s">
        <v>96</v>
      </c>
      <c r="BL335" t="s">
        <v>416</v>
      </c>
      <c r="BM335" t="s">
        <v>4685</v>
      </c>
      <c r="BN335" t="s">
        <v>74</v>
      </c>
      <c r="BO335" t="s">
        <v>98</v>
      </c>
      <c r="BP335" t="s">
        <v>74</v>
      </c>
      <c r="BQ335" t="s">
        <v>74</v>
      </c>
      <c r="BR335" t="s">
        <v>99</v>
      </c>
      <c r="BS335" t="s">
        <v>4686</v>
      </c>
      <c r="BT335" t="str">
        <f>HYPERLINK("https%3A%2F%2Fwww.webofscience.com%2Fwos%2Fwoscc%2Ffull-record%2FWOS:000082607500006","View Full Record in Web of Science")</f>
        <v>View Full Record in Web of Science</v>
      </c>
    </row>
    <row r="336" spans="1:72" x14ac:dyDescent="0.15">
      <c r="A336" t="s">
        <v>72</v>
      </c>
      <c r="B336" t="s">
        <v>4687</v>
      </c>
      <c r="C336" t="s">
        <v>74</v>
      </c>
      <c r="D336" t="s">
        <v>74</v>
      </c>
      <c r="E336" t="s">
        <v>74</v>
      </c>
      <c r="F336" t="s">
        <v>4687</v>
      </c>
      <c r="G336" t="s">
        <v>74</v>
      </c>
      <c r="H336" t="s">
        <v>74</v>
      </c>
      <c r="I336" t="s">
        <v>4688</v>
      </c>
      <c r="J336" t="s">
        <v>1100</v>
      </c>
      <c r="K336" t="s">
        <v>74</v>
      </c>
      <c r="L336" t="s">
        <v>74</v>
      </c>
      <c r="M336" t="s">
        <v>77</v>
      </c>
      <c r="N336" t="s">
        <v>78</v>
      </c>
      <c r="O336" t="s">
        <v>74</v>
      </c>
      <c r="P336" t="s">
        <v>74</v>
      </c>
      <c r="Q336" t="s">
        <v>74</v>
      </c>
      <c r="R336" t="s">
        <v>74</v>
      </c>
      <c r="S336" t="s">
        <v>74</v>
      </c>
      <c r="T336" t="s">
        <v>74</v>
      </c>
      <c r="U336" t="s">
        <v>4689</v>
      </c>
      <c r="V336" t="s">
        <v>4690</v>
      </c>
      <c r="W336" t="s">
        <v>4691</v>
      </c>
      <c r="X336" t="s">
        <v>4692</v>
      </c>
      <c r="Y336" t="s">
        <v>4693</v>
      </c>
      <c r="Z336" t="s">
        <v>74</v>
      </c>
      <c r="AA336" t="s">
        <v>74</v>
      </c>
      <c r="AB336" t="s">
        <v>4694</v>
      </c>
      <c r="AC336" t="s">
        <v>74</v>
      </c>
      <c r="AD336" t="s">
        <v>74</v>
      </c>
      <c r="AE336" t="s">
        <v>74</v>
      </c>
      <c r="AF336" t="s">
        <v>74</v>
      </c>
      <c r="AG336">
        <v>44</v>
      </c>
      <c r="AH336">
        <v>23</v>
      </c>
      <c r="AI336">
        <v>24</v>
      </c>
      <c r="AJ336">
        <v>0</v>
      </c>
      <c r="AK336">
        <v>7</v>
      </c>
      <c r="AL336" t="s">
        <v>86</v>
      </c>
      <c r="AM336" t="s">
        <v>87</v>
      </c>
      <c r="AN336" t="s">
        <v>88</v>
      </c>
      <c r="AO336" t="s">
        <v>1106</v>
      </c>
      <c r="AP336" t="s">
        <v>74</v>
      </c>
      <c r="AQ336" t="s">
        <v>74</v>
      </c>
      <c r="AR336" t="s">
        <v>1107</v>
      </c>
      <c r="AS336" t="s">
        <v>1108</v>
      </c>
      <c r="AT336" t="s">
        <v>4100</v>
      </c>
      <c r="AU336">
        <v>1999</v>
      </c>
      <c r="AV336">
        <v>29</v>
      </c>
      <c r="AW336">
        <v>8</v>
      </c>
      <c r="AX336">
        <v>2</v>
      </c>
      <c r="AY336" t="s">
        <v>74</v>
      </c>
      <c r="AZ336" t="s">
        <v>74</v>
      </c>
      <c r="BA336" t="s">
        <v>74</v>
      </c>
      <c r="BB336">
        <v>2016</v>
      </c>
      <c r="BC336">
        <v>2037</v>
      </c>
      <c r="BD336" t="s">
        <v>74</v>
      </c>
      <c r="BE336" t="s">
        <v>4695</v>
      </c>
      <c r="BF336" t="str">
        <f>HYPERLINK("http://dx.doi.org/10.1175/1520-0485(1999)029&lt;2016:SCMCM&gt;2.0.CO;2","http://dx.doi.org/10.1175/1520-0485(1999)029&lt;2016:SCMCM&gt;2.0.CO;2")</f>
        <v>http://dx.doi.org/10.1175/1520-0485(1999)029&lt;2016:SCMCM&gt;2.0.CO;2</v>
      </c>
      <c r="BG336" t="s">
        <v>74</v>
      </c>
      <c r="BH336" t="s">
        <v>74</v>
      </c>
      <c r="BI336">
        <v>22</v>
      </c>
      <c r="BJ336" t="s">
        <v>416</v>
      </c>
      <c r="BK336" t="s">
        <v>96</v>
      </c>
      <c r="BL336" t="s">
        <v>416</v>
      </c>
      <c r="BM336" t="s">
        <v>4685</v>
      </c>
      <c r="BN336" t="s">
        <v>74</v>
      </c>
      <c r="BO336" t="s">
        <v>250</v>
      </c>
      <c r="BP336" t="s">
        <v>74</v>
      </c>
      <c r="BQ336" t="s">
        <v>74</v>
      </c>
      <c r="BR336" t="s">
        <v>99</v>
      </c>
      <c r="BS336" t="s">
        <v>4696</v>
      </c>
      <c r="BT336" t="str">
        <f>HYPERLINK("https%3A%2F%2Fwww.webofscience.com%2Fwos%2Fwoscc%2Ffull-record%2FWOS:000082607500008","View Full Record in Web of Science")</f>
        <v>View Full Record in Web of Science</v>
      </c>
    </row>
    <row r="337" spans="1:72" x14ac:dyDescent="0.15">
      <c r="A337" t="s">
        <v>72</v>
      </c>
      <c r="B337" t="s">
        <v>4697</v>
      </c>
      <c r="C337" t="s">
        <v>74</v>
      </c>
      <c r="D337" t="s">
        <v>74</v>
      </c>
      <c r="E337" t="s">
        <v>74</v>
      </c>
      <c r="F337" t="s">
        <v>4697</v>
      </c>
      <c r="G337" t="s">
        <v>74</v>
      </c>
      <c r="H337" t="s">
        <v>74</v>
      </c>
      <c r="I337" t="s">
        <v>4698</v>
      </c>
      <c r="J337" t="s">
        <v>1100</v>
      </c>
      <c r="K337" t="s">
        <v>74</v>
      </c>
      <c r="L337" t="s">
        <v>74</v>
      </c>
      <c r="M337" t="s">
        <v>77</v>
      </c>
      <c r="N337" t="s">
        <v>78</v>
      </c>
      <c r="O337" t="s">
        <v>74</v>
      </c>
      <c r="P337" t="s">
        <v>74</v>
      </c>
      <c r="Q337" t="s">
        <v>74</v>
      </c>
      <c r="R337" t="s">
        <v>74</v>
      </c>
      <c r="S337" t="s">
        <v>74</v>
      </c>
      <c r="T337" t="s">
        <v>74</v>
      </c>
      <c r="U337" t="s">
        <v>4699</v>
      </c>
      <c r="V337" t="s">
        <v>4700</v>
      </c>
      <c r="W337" t="s">
        <v>2854</v>
      </c>
      <c r="X337" t="s">
        <v>2855</v>
      </c>
      <c r="Y337" t="s">
        <v>2844</v>
      </c>
      <c r="Z337" t="s">
        <v>4701</v>
      </c>
      <c r="AA337" t="s">
        <v>4702</v>
      </c>
      <c r="AB337" t="s">
        <v>4703</v>
      </c>
      <c r="AC337" t="s">
        <v>74</v>
      </c>
      <c r="AD337" t="s">
        <v>74</v>
      </c>
      <c r="AE337" t="s">
        <v>74</v>
      </c>
      <c r="AF337" t="s">
        <v>74</v>
      </c>
      <c r="AG337">
        <v>38</v>
      </c>
      <c r="AH337">
        <v>12</v>
      </c>
      <c r="AI337">
        <v>12</v>
      </c>
      <c r="AJ337">
        <v>0</v>
      </c>
      <c r="AK337">
        <v>2</v>
      </c>
      <c r="AL337" t="s">
        <v>86</v>
      </c>
      <c r="AM337" t="s">
        <v>87</v>
      </c>
      <c r="AN337" t="s">
        <v>4704</v>
      </c>
      <c r="AO337" t="s">
        <v>1106</v>
      </c>
      <c r="AP337" t="s">
        <v>2302</v>
      </c>
      <c r="AQ337" t="s">
        <v>74</v>
      </c>
      <c r="AR337" t="s">
        <v>1107</v>
      </c>
      <c r="AS337" t="s">
        <v>1108</v>
      </c>
      <c r="AT337" t="s">
        <v>4100</v>
      </c>
      <c r="AU337">
        <v>1999</v>
      </c>
      <c r="AV337">
        <v>29</v>
      </c>
      <c r="AW337">
        <v>8</v>
      </c>
      <c r="AX337">
        <v>2</v>
      </c>
      <c r="AY337" t="s">
        <v>74</v>
      </c>
      <c r="AZ337" t="s">
        <v>74</v>
      </c>
      <c r="BA337" t="s">
        <v>74</v>
      </c>
      <c r="BB337">
        <v>2050</v>
      </c>
      <c r="BC337">
        <v>2064</v>
      </c>
      <c r="BD337" t="s">
        <v>74</v>
      </c>
      <c r="BE337" t="s">
        <v>4705</v>
      </c>
      <c r="BF337" t="str">
        <f>HYPERLINK("http://dx.doi.org/10.1175/1520-0485(1999)029&lt;2050:TOOAAR&gt;2.0.CO;2","http://dx.doi.org/10.1175/1520-0485(1999)029&lt;2050:TOOAAR&gt;2.0.CO;2")</f>
        <v>http://dx.doi.org/10.1175/1520-0485(1999)029&lt;2050:TOOAAR&gt;2.0.CO;2</v>
      </c>
      <c r="BG337" t="s">
        <v>74</v>
      </c>
      <c r="BH337" t="s">
        <v>74</v>
      </c>
      <c r="BI337">
        <v>15</v>
      </c>
      <c r="BJ337" t="s">
        <v>416</v>
      </c>
      <c r="BK337" t="s">
        <v>96</v>
      </c>
      <c r="BL337" t="s">
        <v>416</v>
      </c>
      <c r="BM337" t="s">
        <v>4685</v>
      </c>
      <c r="BN337" t="s">
        <v>74</v>
      </c>
      <c r="BO337" t="s">
        <v>98</v>
      </c>
      <c r="BP337" t="s">
        <v>74</v>
      </c>
      <c r="BQ337" t="s">
        <v>74</v>
      </c>
      <c r="BR337" t="s">
        <v>99</v>
      </c>
      <c r="BS337" t="s">
        <v>4706</v>
      </c>
      <c r="BT337" t="str">
        <f>HYPERLINK("https%3A%2F%2Fwww.webofscience.com%2Fwos%2Fwoscc%2Ffull-record%2FWOS:000082607500010","View Full Record in Web of Science")</f>
        <v>View Full Record in Web of Science</v>
      </c>
    </row>
    <row r="338" spans="1:72" x14ac:dyDescent="0.15">
      <c r="A338" t="s">
        <v>72</v>
      </c>
      <c r="B338" t="s">
        <v>4707</v>
      </c>
      <c r="C338" t="s">
        <v>74</v>
      </c>
      <c r="D338" t="s">
        <v>74</v>
      </c>
      <c r="E338" t="s">
        <v>74</v>
      </c>
      <c r="F338" t="s">
        <v>4707</v>
      </c>
      <c r="G338" t="s">
        <v>74</v>
      </c>
      <c r="H338" t="s">
        <v>74</v>
      </c>
      <c r="I338" t="s">
        <v>4708</v>
      </c>
      <c r="J338" t="s">
        <v>1123</v>
      </c>
      <c r="K338" t="s">
        <v>74</v>
      </c>
      <c r="L338" t="s">
        <v>74</v>
      </c>
      <c r="M338" t="s">
        <v>77</v>
      </c>
      <c r="N338" t="s">
        <v>78</v>
      </c>
      <c r="O338" t="s">
        <v>74</v>
      </c>
      <c r="P338" t="s">
        <v>74</v>
      </c>
      <c r="Q338" t="s">
        <v>74</v>
      </c>
      <c r="R338" t="s">
        <v>74</v>
      </c>
      <c r="S338" t="s">
        <v>74</v>
      </c>
      <c r="T338" t="s">
        <v>74</v>
      </c>
      <c r="U338" t="s">
        <v>4709</v>
      </c>
      <c r="V338" t="s">
        <v>4710</v>
      </c>
      <c r="W338" t="s">
        <v>4711</v>
      </c>
      <c r="X338" t="s">
        <v>4712</v>
      </c>
      <c r="Y338" t="s">
        <v>4713</v>
      </c>
      <c r="Z338" t="s">
        <v>74</v>
      </c>
      <c r="AA338" t="s">
        <v>74</v>
      </c>
      <c r="AB338" t="s">
        <v>74</v>
      </c>
      <c r="AC338" t="s">
        <v>74</v>
      </c>
      <c r="AD338" t="s">
        <v>74</v>
      </c>
      <c r="AE338" t="s">
        <v>74</v>
      </c>
      <c r="AF338" t="s">
        <v>74</v>
      </c>
      <c r="AG338">
        <v>47</v>
      </c>
      <c r="AH338">
        <v>47</v>
      </c>
      <c r="AI338">
        <v>51</v>
      </c>
      <c r="AJ338">
        <v>0</v>
      </c>
      <c r="AK338">
        <v>13</v>
      </c>
      <c r="AL338" t="s">
        <v>1090</v>
      </c>
      <c r="AM338" t="s">
        <v>276</v>
      </c>
      <c r="AN338" t="s">
        <v>1091</v>
      </c>
      <c r="AO338" t="s">
        <v>1131</v>
      </c>
      <c r="AP338" t="s">
        <v>1132</v>
      </c>
      <c r="AQ338" t="s">
        <v>74</v>
      </c>
      <c r="AR338" t="s">
        <v>1133</v>
      </c>
      <c r="AS338" t="s">
        <v>1134</v>
      </c>
      <c r="AT338" t="s">
        <v>4100</v>
      </c>
      <c r="AU338">
        <v>1999</v>
      </c>
      <c r="AV338">
        <v>21</v>
      </c>
      <c r="AW338">
        <v>8</v>
      </c>
      <c r="AX338" t="s">
        <v>74</v>
      </c>
      <c r="AY338" t="s">
        <v>74</v>
      </c>
      <c r="AZ338" t="s">
        <v>74</v>
      </c>
      <c r="BA338" t="s">
        <v>74</v>
      </c>
      <c r="BB338">
        <v>1519</v>
      </c>
      <c r="BC338">
        <v>1536</v>
      </c>
      <c r="BD338" t="s">
        <v>74</v>
      </c>
      <c r="BE338" t="s">
        <v>4714</v>
      </c>
      <c r="BF338" t="str">
        <f>HYPERLINK("http://dx.doi.org/10.1093/plankt/21.8.1519","http://dx.doi.org/10.1093/plankt/21.8.1519")</f>
        <v>http://dx.doi.org/10.1093/plankt/21.8.1519</v>
      </c>
      <c r="BG338" t="s">
        <v>74</v>
      </c>
      <c r="BH338" t="s">
        <v>74</v>
      </c>
      <c r="BI338">
        <v>18</v>
      </c>
      <c r="BJ338" t="s">
        <v>1136</v>
      </c>
      <c r="BK338" t="s">
        <v>96</v>
      </c>
      <c r="BL338" t="s">
        <v>1136</v>
      </c>
      <c r="BM338" t="s">
        <v>4715</v>
      </c>
      <c r="BN338" t="s">
        <v>74</v>
      </c>
      <c r="BO338" t="s">
        <v>1214</v>
      </c>
      <c r="BP338" t="s">
        <v>74</v>
      </c>
      <c r="BQ338" t="s">
        <v>74</v>
      </c>
      <c r="BR338" t="s">
        <v>99</v>
      </c>
      <c r="BS338" t="s">
        <v>4716</v>
      </c>
      <c r="BT338" t="str">
        <f>HYPERLINK("https%3A%2F%2Fwww.webofscience.com%2Fwos%2Fwoscc%2Ffull-record%2FWOS:000081994200008","View Full Record in Web of Science")</f>
        <v>View Full Record in Web of Science</v>
      </c>
    </row>
    <row r="339" spans="1:72" x14ac:dyDescent="0.15">
      <c r="A339" t="s">
        <v>72</v>
      </c>
      <c r="B339" t="s">
        <v>4717</v>
      </c>
      <c r="C339" t="s">
        <v>74</v>
      </c>
      <c r="D339" t="s">
        <v>74</v>
      </c>
      <c r="E339" t="s">
        <v>74</v>
      </c>
      <c r="F339" t="s">
        <v>4717</v>
      </c>
      <c r="G339" t="s">
        <v>74</v>
      </c>
      <c r="H339" t="s">
        <v>74</v>
      </c>
      <c r="I339" t="s">
        <v>4718</v>
      </c>
      <c r="J339" t="s">
        <v>1218</v>
      </c>
      <c r="K339" t="s">
        <v>74</v>
      </c>
      <c r="L339" t="s">
        <v>74</v>
      </c>
      <c r="M339" t="s">
        <v>77</v>
      </c>
      <c r="N339" t="s">
        <v>78</v>
      </c>
      <c r="O339" t="s">
        <v>74</v>
      </c>
      <c r="P339" t="s">
        <v>74</v>
      </c>
      <c r="Q339" t="s">
        <v>74</v>
      </c>
      <c r="R339" t="s">
        <v>74</v>
      </c>
      <c r="S339" t="s">
        <v>74</v>
      </c>
      <c r="T339" t="s">
        <v>74</v>
      </c>
      <c r="U339" t="s">
        <v>4719</v>
      </c>
      <c r="V339" t="s">
        <v>4720</v>
      </c>
      <c r="W339" t="s">
        <v>4721</v>
      </c>
      <c r="X339" t="s">
        <v>4722</v>
      </c>
      <c r="Y339" t="s">
        <v>4723</v>
      </c>
      <c r="Z339" t="s">
        <v>74</v>
      </c>
      <c r="AA339" t="s">
        <v>74</v>
      </c>
      <c r="AB339" t="s">
        <v>74</v>
      </c>
      <c r="AC339" t="s">
        <v>74</v>
      </c>
      <c r="AD339" t="s">
        <v>74</v>
      </c>
      <c r="AE339" t="s">
        <v>74</v>
      </c>
      <c r="AF339" t="s">
        <v>74</v>
      </c>
      <c r="AG339">
        <v>60</v>
      </c>
      <c r="AH339">
        <v>28</v>
      </c>
      <c r="AI339">
        <v>28</v>
      </c>
      <c r="AJ339">
        <v>0</v>
      </c>
      <c r="AK339">
        <v>9</v>
      </c>
      <c r="AL339" t="s">
        <v>3679</v>
      </c>
      <c r="AM339" t="s">
        <v>3680</v>
      </c>
      <c r="AN339" t="s">
        <v>3681</v>
      </c>
      <c r="AO339" t="s">
        <v>1225</v>
      </c>
      <c r="AP339" t="s">
        <v>3682</v>
      </c>
      <c r="AQ339" t="s">
        <v>74</v>
      </c>
      <c r="AR339" t="s">
        <v>1226</v>
      </c>
      <c r="AS339" t="s">
        <v>1227</v>
      </c>
      <c r="AT339" t="s">
        <v>4100</v>
      </c>
      <c r="AU339">
        <v>1999</v>
      </c>
      <c r="AV339">
        <v>134</v>
      </c>
      <c r="AW339">
        <v>3</v>
      </c>
      <c r="AX339" t="s">
        <v>74</v>
      </c>
      <c r="AY339" t="s">
        <v>74</v>
      </c>
      <c r="AZ339" t="s">
        <v>74</v>
      </c>
      <c r="BA339" t="s">
        <v>74</v>
      </c>
      <c r="BB339">
        <v>449</v>
      </c>
      <c r="BC339">
        <v>459</v>
      </c>
      <c r="BD339" t="s">
        <v>74</v>
      </c>
      <c r="BE339" t="s">
        <v>4724</v>
      </c>
      <c r="BF339" t="str">
        <f>HYPERLINK("http://dx.doi.org/10.1007/s002270050561","http://dx.doi.org/10.1007/s002270050561")</f>
        <v>http://dx.doi.org/10.1007/s002270050561</v>
      </c>
      <c r="BG339" t="s">
        <v>74</v>
      </c>
      <c r="BH339" t="s">
        <v>74</v>
      </c>
      <c r="BI339">
        <v>11</v>
      </c>
      <c r="BJ339" t="s">
        <v>1229</v>
      </c>
      <c r="BK339" t="s">
        <v>96</v>
      </c>
      <c r="BL339" t="s">
        <v>1229</v>
      </c>
      <c r="BM339" t="s">
        <v>4725</v>
      </c>
      <c r="BN339" t="s">
        <v>74</v>
      </c>
      <c r="BO339" t="s">
        <v>74</v>
      </c>
      <c r="BP339" t="s">
        <v>74</v>
      </c>
      <c r="BQ339" t="s">
        <v>74</v>
      </c>
      <c r="BR339" t="s">
        <v>99</v>
      </c>
      <c r="BS339" t="s">
        <v>4726</v>
      </c>
      <c r="BT339" t="str">
        <f>HYPERLINK("https%3A%2F%2Fwww.webofscience.com%2Fwos%2Fwoscc%2Ffull-record%2FWOS:000082297900006","View Full Record in Web of Science")</f>
        <v>View Full Record in Web of Science</v>
      </c>
    </row>
    <row r="340" spans="1:72" x14ac:dyDescent="0.15">
      <c r="A340" t="s">
        <v>72</v>
      </c>
      <c r="B340" t="s">
        <v>4727</v>
      </c>
      <c r="C340" t="s">
        <v>74</v>
      </c>
      <c r="D340" t="s">
        <v>74</v>
      </c>
      <c r="E340" t="s">
        <v>74</v>
      </c>
      <c r="F340" t="s">
        <v>4727</v>
      </c>
      <c r="G340" t="s">
        <v>74</v>
      </c>
      <c r="H340" t="s">
        <v>74</v>
      </c>
      <c r="I340" t="s">
        <v>4728</v>
      </c>
      <c r="J340" t="s">
        <v>1218</v>
      </c>
      <c r="K340" t="s">
        <v>74</v>
      </c>
      <c r="L340" t="s">
        <v>74</v>
      </c>
      <c r="M340" t="s">
        <v>77</v>
      </c>
      <c r="N340" t="s">
        <v>78</v>
      </c>
      <c r="O340" t="s">
        <v>74</v>
      </c>
      <c r="P340" t="s">
        <v>74</v>
      </c>
      <c r="Q340" t="s">
        <v>74</v>
      </c>
      <c r="R340" t="s">
        <v>74</v>
      </c>
      <c r="S340" t="s">
        <v>74</v>
      </c>
      <c r="T340" t="s">
        <v>74</v>
      </c>
      <c r="U340" t="s">
        <v>4729</v>
      </c>
      <c r="V340" t="s">
        <v>4730</v>
      </c>
      <c r="W340" t="s">
        <v>1126</v>
      </c>
      <c r="X340" t="s">
        <v>1127</v>
      </c>
      <c r="Y340" t="s">
        <v>4731</v>
      </c>
      <c r="Z340" t="s">
        <v>4732</v>
      </c>
      <c r="AA340" t="s">
        <v>4733</v>
      </c>
      <c r="AB340" t="s">
        <v>4734</v>
      </c>
      <c r="AC340" t="s">
        <v>74</v>
      </c>
      <c r="AD340" t="s">
        <v>74</v>
      </c>
      <c r="AE340" t="s">
        <v>74</v>
      </c>
      <c r="AF340" t="s">
        <v>74</v>
      </c>
      <c r="AG340">
        <v>49</v>
      </c>
      <c r="AH340">
        <v>37</v>
      </c>
      <c r="AI340">
        <v>39</v>
      </c>
      <c r="AJ340">
        <v>0</v>
      </c>
      <c r="AK340">
        <v>5</v>
      </c>
      <c r="AL340" t="s">
        <v>3679</v>
      </c>
      <c r="AM340" t="s">
        <v>3680</v>
      </c>
      <c r="AN340" t="s">
        <v>3681</v>
      </c>
      <c r="AO340" t="s">
        <v>1225</v>
      </c>
      <c r="AP340" t="s">
        <v>3682</v>
      </c>
      <c r="AQ340" t="s">
        <v>74</v>
      </c>
      <c r="AR340" t="s">
        <v>1226</v>
      </c>
      <c r="AS340" t="s">
        <v>1227</v>
      </c>
      <c r="AT340" t="s">
        <v>4100</v>
      </c>
      <c r="AU340">
        <v>1999</v>
      </c>
      <c r="AV340">
        <v>134</v>
      </c>
      <c r="AW340">
        <v>3</v>
      </c>
      <c r="AX340" t="s">
        <v>74</v>
      </c>
      <c r="AY340" t="s">
        <v>74</v>
      </c>
      <c r="AZ340" t="s">
        <v>74</v>
      </c>
      <c r="BA340" t="s">
        <v>74</v>
      </c>
      <c r="BB340">
        <v>501</v>
      </c>
      <c r="BC340">
        <v>515</v>
      </c>
      <c r="BD340" t="s">
        <v>74</v>
      </c>
      <c r="BE340" t="s">
        <v>4735</v>
      </c>
      <c r="BF340" t="str">
        <f>HYPERLINK("http://dx.doi.org/10.1007/s002270050566","http://dx.doi.org/10.1007/s002270050566")</f>
        <v>http://dx.doi.org/10.1007/s002270050566</v>
      </c>
      <c r="BG340" t="s">
        <v>74</v>
      </c>
      <c r="BH340" t="s">
        <v>74</v>
      </c>
      <c r="BI340">
        <v>15</v>
      </c>
      <c r="BJ340" t="s">
        <v>1229</v>
      </c>
      <c r="BK340" t="s">
        <v>96</v>
      </c>
      <c r="BL340" t="s">
        <v>1229</v>
      </c>
      <c r="BM340" t="s">
        <v>4725</v>
      </c>
      <c r="BN340" t="s">
        <v>74</v>
      </c>
      <c r="BO340" t="s">
        <v>74</v>
      </c>
      <c r="BP340" t="s">
        <v>74</v>
      </c>
      <c r="BQ340" t="s">
        <v>74</v>
      </c>
      <c r="BR340" t="s">
        <v>99</v>
      </c>
      <c r="BS340" t="s">
        <v>4736</v>
      </c>
      <c r="BT340" t="str">
        <f>HYPERLINK("https%3A%2F%2Fwww.webofscience.com%2Fwos%2Fwoscc%2Ffull-record%2FWOS:000082297900011","View Full Record in Web of Science")</f>
        <v>View Full Record in Web of Science</v>
      </c>
    </row>
    <row r="341" spans="1:72" x14ac:dyDescent="0.15">
      <c r="A341" t="s">
        <v>72</v>
      </c>
      <c r="B341" t="s">
        <v>4737</v>
      </c>
      <c r="C341" t="s">
        <v>74</v>
      </c>
      <c r="D341" t="s">
        <v>74</v>
      </c>
      <c r="E341" t="s">
        <v>74</v>
      </c>
      <c r="F341" t="s">
        <v>4737</v>
      </c>
      <c r="G341" t="s">
        <v>74</v>
      </c>
      <c r="H341" t="s">
        <v>74</v>
      </c>
      <c r="I341" t="s">
        <v>4738</v>
      </c>
      <c r="J341" t="s">
        <v>2318</v>
      </c>
      <c r="K341" t="s">
        <v>74</v>
      </c>
      <c r="L341" t="s">
        <v>74</v>
      </c>
      <c r="M341" t="s">
        <v>77</v>
      </c>
      <c r="N341" t="s">
        <v>78</v>
      </c>
      <c r="O341" t="s">
        <v>74</v>
      </c>
      <c r="P341" t="s">
        <v>74</v>
      </c>
      <c r="Q341" t="s">
        <v>74</v>
      </c>
      <c r="R341" t="s">
        <v>74</v>
      </c>
      <c r="S341" t="s">
        <v>74</v>
      </c>
      <c r="T341" t="s">
        <v>4739</v>
      </c>
      <c r="U341" t="s">
        <v>4740</v>
      </c>
      <c r="V341" t="s">
        <v>4741</v>
      </c>
      <c r="W341" t="s">
        <v>4742</v>
      </c>
      <c r="X341" t="s">
        <v>4743</v>
      </c>
      <c r="Y341" t="s">
        <v>4744</v>
      </c>
      <c r="Z341" t="s">
        <v>4745</v>
      </c>
      <c r="AA341" t="s">
        <v>4027</v>
      </c>
      <c r="AB341" t="s">
        <v>74</v>
      </c>
      <c r="AC341" t="s">
        <v>74</v>
      </c>
      <c r="AD341" t="s">
        <v>74</v>
      </c>
      <c r="AE341" t="s">
        <v>74</v>
      </c>
      <c r="AF341" t="s">
        <v>74</v>
      </c>
      <c r="AG341">
        <v>47</v>
      </c>
      <c r="AH341">
        <v>95</v>
      </c>
      <c r="AI341">
        <v>115</v>
      </c>
      <c r="AJ341">
        <v>0</v>
      </c>
      <c r="AK341">
        <v>9</v>
      </c>
      <c r="AL341" t="s">
        <v>1263</v>
      </c>
      <c r="AM341" t="s">
        <v>211</v>
      </c>
      <c r="AN341" t="s">
        <v>1264</v>
      </c>
      <c r="AO341" t="s">
        <v>2326</v>
      </c>
      <c r="AP341" t="s">
        <v>2327</v>
      </c>
      <c r="AQ341" t="s">
        <v>74</v>
      </c>
      <c r="AR341" t="s">
        <v>2328</v>
      </c>
      <c r="AS341" t="s">
        <v>2329</v>
      </c>
      <c r="AT341" t="s">
        <v>4100</v>
      </c>
      <c r="AU341">
        <v>1999</v>
      </c>
      <c r="AV341">
        <v>66</v>
      </c>
      <c r="AW341" t="s">
        <v>141</v>
      </c>
      <c r="AX341" t="s">
        <v>74</v>
      </c>
      <c r="AY341" t="s">
        <v>74</v>
      </c>
      <c r="AZ341" t="s">
        <v>74</v>
      </c>
      <c r="BA341" t="s">
        <v>74</v>
      </c>
      <c r="BB341">
        <v>187</v>
      </c>
      <c r="BC341">
        <v>200</v>
      </c>
      <c r="BD341" t="s">
        <v>74</v>
      </c>
      <c r="BE341" t="s">
        <v>4746</v>
      </c>
      <c r="BF341" t="str">
        <f>HYPERLINK("http://dx.doi.org/10.1016/S0304-4203(99)00040-7","http://dx.doi.org/10.1016/S0304-4203(99)00040-7")</f>
        <v>http://dx.doi.org/10.1016/S0304-4203(99)00040-7</v>
      </c>
      <c r="BG341" t="s">
        <v>74</v>
      </c>
      <c r="BH341" t="s">
        <v>74</v>
      </c>
      <c r="BI341">
        <v>14</v>
      </c>
      <c r="BJ341" t="s">
        <v>2331</v>
      </c>
      <c r="BK341" t="s">
        <v>96</v>
      </c>
      <c r="BL341" t="s">
        <v>2332</v>
      </c>
      <c r="BM341" t="s">
        <v>4747</v>
      </c>
      <c r="BN341" t="s">
        <v>74</v>
      </c>
      <c r="BO341" t="s">
        <v>74</v>
      </c>
      <c r="BP341" t="s">
        <v>74</v>
      </c>
      <c r="BQ341" t="s">
        <v>74</v>
      </c>
      <c r="BR341" t="s">
        <v>99</v>
      </c>
      <c r="BS341" t="s">
        <v>4748</v>
      </c>
      <c r="BT341" t="str">
        <f>HYPERLINK("https%3A%2F%2Fwww.webofscience.com%2Fwos%2Fwoscc%2Ffull-record%2FWOS:000082185300005","View Full Record in Web of Science")</f>
        <v>View Full Record in Web of Science</v>
      </c>
    </row>
    <row r="342" spans="1:72" x14ac:dyDescent="0.15">
      <c r="A342" t="s">
        <v>72</v>
      </c>
      <c r="B342" t="s">
        <v>4749</v>
      </c>
      <c r="C342" t="s">
        <v>74</v>
      </c>
      <c r="D342" t="s">
        <v>74</v>
      </c>
      <c r="E342" t="s">
        <v>74</v>
      </c>
      <c r="F342" t="s">
        <v>4749</v>
      </c>
      <c r="G342" t="s">
        <v>74</v>
      </c>
      <c r="H342" t="s">
        <v>74</v>
      </c>
      <c r="I342" t="s">
        <v>4750</v>
      </c>
      <c r="J342" t="s">
        <v>2338</v>
      </c>
      <c r="K342" t="s">
        <v>74</v>
      </c>
      <c r="L342" t="s">
        <v>74</v>
      </c>
      <c r="M342" t="s">
        <v>77</v>
      </c>
      <c r="N342" t="s">
        <v>78</v>
      </c>
      <c r="O342" t="s">
        <v>74</v>
      </c>
      <c r="P342" t="s">
        <v>74</v>
      </c>
      <c r="Q342" t="s">
        <v>74</v>
      </c>
      <c r="R342" t="s">
        <v>74</v>
      </c>
      <c r="S342" t="s">
        <v>74</v>
      </c>
      <c r="T342" t="s">
        <v>4751</v>
      </c>
      <c r="U342" t="s">
        <v>4752</v>
      </c>
      <c r="V342" t="s">
        <v>4753</v>
      </c>
      <c r="W342" t="s">
        <v>4754</v>
      </c>
      <c r="X342" t="s">
        <v>4755</v>
      </c>
      <c r="Y342" t="s">
        <v>4756</v>
      </c>
      <c r="Z342" t="s">
        <v>4757</v>
      </c>
      <c r="AA342" t="s">
        <v>74</v>
      </c>
      <c r="AB342" t="s">
        <v>74</v>
      </c>
      <c r="AC342" t="s">
        <v>74</v>
      </c>
      <c r="AD342" t="s">
        <v>74</v>
      </c>
      <c r="AE342" t="s">
        <v>74</v>
      </c>
      <c r="AF342" t="s">
        <v>74</v>
      </c>
      <c r="AG342">
        <v>42</v>
      </c>
      <c r="AH342">
        <v>13</v>
      </c>
      <c r="AI342">
        <v>15</v>
      </c>
      <c r="AJ342">
        <v>1</v>
      </c>
      <c r="AK342">
        <v>8</v>
      </c>
      <c r="AL342" t="s">
        <v>210</v>
      </c>
      <c r="AM342" t="s">
        <v>211</v>
      </c>
      <c r="AN342" t="s">
        <v>212</v>
      </c>
      <c r="AO342" t="s">
        <v>2349</v>
      </c>
      <c r="AP342" t="s">
        <v>2350</v>
      </c>
      <c r="AQ342" t="s">
        <v>74</v>
      </c>
      <c r="AR342" t="s">
        <v>2351</v>
      </c>
      <c r="AS342" t="s">
        <v>2352</v>
      </c>
      <c r="AT342" t="s">
        <v>4100</v>
      </c>
      <c r="AU342">
        <v>1999</v>
      </c>
      <c r="AV342">
        <v>160</v>
      </c>
      <c r="AW342" t="s">
        <v>1614</v>
      </c>
      <c r="AX342" t="s">
        <v>74</v>
      </c>
      <c r="AY342" t="s">
        <v>74</v>
      </c>
      <c r="AZ342" t="s">
        <v>74</v>
      </c>
      <c r="BA342" t="s">
        <v>74</v>
      </c>
      <c r="BB342">
        <v>63</v>
      </c>
      <c r="BC342">
        <v>83</v>
      </c>
      <c r="BD342" t="s">
        <v>74</v>
      </c>
      <c r="BE342" t="s">
        <v>4758</v>
      </c>
      <c r="BF342" t="str">
        <f>HYPERLINK("http://dx.doi.org/10.1016/S0025-3227(99)00012-2","http://dx.doi.org/10.1016/S0025-3227(99)00012-2")</f>
        <v>http://dx.doi.org/10.1016/S0025-3227(99)00012-2</v>
      </c>
      <c r="BG342" t="s">
        <v>74</v>
      </c>
      <c r="BH342" t="s">
        <v>74</v>
      </c>
      <c r="BI342">
        <v>21</v>
      </c>
      <c r="BJ342" t="s">
        <v>2355</v>
      </c>
      <c r="BK342" t="s">
        <v>96</v>
      </c>
      <c r="BL342" t="s">
        <v>2356</v>
      </c>
      <c r="BM342" t="s">
        <v>4759</v>
      </c>
      <c r="BN342" t="s">
        <v>74</v>
      </c>
      <c r="BO342" t="s">
        <v>74</v>
      </c>
      <c r="BP342" t="s">
        <v>74</v>
      </c>
      <c r="BQ342" t="s">
        <v>74</v>
      </c>
      <c r="BR342" t="s">
        <v>99</v>
      </c>
      <c r="BS342" t="s">
        <v>4760</v>
      </c>
      <c r="BT342" t="str">
        <f>HYPERLINK("https%3A%2F%2Fwww.webofscience.com%2Fwos%2Fwoscc%2Ffull-record%2FWOS:000081347200004","View Full Record in Web of Science")</f>
        <v>View Full Record in Web of Science</v>
      </c>
    </row>
    <row r="343" spans="1:72" x14ac:dyDescent="0.15">
      <c r="A343" t="s">
        <v>72</v>
      </c>
      <c r="B343" t="s">
        <v>4761</v>
      </c>
      <c r="C343" t="s">
        <v>74</v>
      </c>
      <c r="D343" t="s">
        <v>74</v>
      </c>
      <c r="E343" t="s">
        <v>74</v>
      </c>
      <c r="F343" t="s">
        <v>4761</v>
      </c>
      <c r="G343" t="s">
        <v>74</v>
      </c>
      <c r="H343" t="s">
        <v>74</v>
      </c>
      <c r="I343" t="s">
        <v>4762</v>
      </c>
      <c r="J343" t="s">
        <v>1253</v>
      </c>
      <c r="K343" t="s">
        <v>74</v>
      </c>
      <c r="L343" t="s">
        <v>74</v>
      </c>
      <c r="M343" t="s">
        <v>77</v>
      </c>
      <c r="N343" t="s">
        <v>78</v>
      </c>
      <c r="O343" t="s">
        <v>74</v>
      </c>
      <c r="P343" t="s">
        <v>74</v>
      </c>
      <c r="Q343" t="s">
        <v>74</v>
      </c>
      <c r="R343" t="s">
        <v>74</v>
      </c>
      <c r="S343" t="s">
        <v>74</v>
      </c>
      <c r="T343" t="s">
        <v>4763</v>
      </c>
      <c r="U343" t="s">
        <v>4764</v>
      </c>
      <c r="V343" t="s">
        <v>4765</v>
      </c>
      <c r="W343" t="s">
        <v>4766</v>
      </c>
      <c r="X343" t="s">
        <v>1067</v>
      </c>
      <c r="Y343" t="s">
        <v>1445</v>
      </c>
      <c r="Z343" t="s">
        <v>1446</v>
      </c>
      <c r="AA343" t="s">
        <v>74</v>
      </c>
      <c r="AB343" t="s">
        <v>74</v>
      </c>
      <c r="AC343" t="s">
        <v>74</v>
      </c>
      <c r="AD343" t="s">
        <v>74</v>
      </c>
      <c r="AE343" t="s">
        <v>74</v>
      </c>
      <c r="AF343" t="s">
        <v>74</v>
      </c>
      <c r="AG343">
        <v>73</v>
      </c>
      <c r="AH343">
        <v>73</v>
      </c>
      <c r="AI343">
        <v>74</v>
      </c>
      <c r="AJ343">
        <v>1</v>
      </c>
      <c r="AK343">
        <v>8</v>
      </c>
      <c r="AL343" t="s">
        <v>210</v>
      </c>
      <c r="AM343" t="s">
        <v>211</v>
      </c>
      <c r="AN343" t="s">
        <v>212</v>
      </c>
      <c r="AO343" t="s">
        <v>1265</v>
      </c>
      <c r="AP343" t="s">
        <v>74</v>
      </c>
      <c r="AQ343" t="s">
        <v>74</v>
      </c>
      <c r="AR343" t="s">
        <v>1267</v>
      </c>
      <c r="AS343" t="s">
        <v>1268</v>
      </c>
      <c r="AT343" t="s">
        <v>4100</v>
      </c>
      <c r="AU343">
        <v>1999</v>
      </c>
      <c r="AV343">
        <v>37</v>
      </c>
      <c r="AW343">
        <v>2</v>
      </c>
      <c r="AX343" t="s">
        <v>74</v>
      </c>
      <c r="AY343" t="s">
        <v>74</v>
      </c>
      <c r="AZ343" t="s">
        <v>74</v>
      </c>
      <c r="BA343" t="s">
        <v>74</v>
      </c>
      <c r="BB343">
        <v>77</v>
      </c>
      <c r="BC343">
        <v>99</v>
      </c>
      <c r="BD343" t="s">
        <v>74</v>
      </c>
      <c r="BE343" t="s">
        <v>4767</v>
      </c>
      <c r="BF343" t="str">
        <f>HYPERLINK("http://dx.doi.org/10.1016/S0377-8398(99)00016-X","http://dx.doi.org/10.1016/S0377-8398(99)00016-X")</f>
        <v>http://dx.doi.org/10.1016/S0377-8398(99)00016-X</v>
      </c>
      <c r="BG343" t="s">
        <v>74</v>
      </c>
      <c r="BH343" t="s">
        <v>74</v>
      </c>
      <c r="BI343">
        <v>23</v>
      </c>
      <c r="BJ343" t="s">
        <v>1270</v>
      </c>
      <c r="BK343" t="s">
        <v>96</v>
      </c>
      <c r="BL343" t="s">
        <v>1270</v>
      </c>
      <c r="BM343" t="s">
        <v>4768</v>
      </c>
      <c r="BN343" t="s">
        <v>74</v>
      </c>
      <c r="BO343" t="s">
        <v>74</v>
      </c>
      <c r="BP343" t="s">
        <v>74</v>
      </c>
      <c r="BQ343" t="s">
        <v>74</v>
      </c>
      <c r="BR343" t="s">
        <v>99</v>
      </c>
      <c r="BS343" t="s">
        <v>4769</v>
      </c>
      <c r="BT343" t="str">
        <f>HYPERLINK("https%3A%2F%2Fwww.webofscience.com%2Fwos%2Fwoscc%2Ffull-record%2FWOS:000082044200001","View Full Record in Web of Science")</f>
        <v>View Full Record in Web of Science</v>
      </c>
    </row>
    <row r="344" spans="1:72" x14ac:dyDescent="0.15">
      <c r="A344" t="s">
        <v>72</v>
      </c>
      <c r="B344" t="s">
        <v>4770</v>
      </c>
      <c r="C344" t="s">
        <v>74</v>
      </c>
      <c r="D344" t="s">
        <v>74</v>
      </c>
      <c r="E344" t="s">
        <v>74</v>
      </c>
      <c r="F344" t="s">
        <v>4770</v>
      </c>
      <c r="G344" t="s">
        <v>74</v>
      </c>
      <c r="H344" t="s">
        <v>74</v>
      </c>
      <c r="I344" t="s">
        <v>4771</v>
      </c>
      <c r="J344" t="s">
        <v>4772</v>
      </c>
      <c r="K344" t="s">
        <v>74</v>
      </c>
      <c r="L344" t="s">
        <v>74</v>
      </c>
      <c r="M344" t="s">
        <v>77</v>
      </c>
      <c r="N344" t="s">
        <v>78</v>
      </c>
      <c r="O344" t="s">
        <v>74</v>
      </c>
      <c r="P344" t="s">
        <v>74</v>
      </c>
      <c r="Q344" t="s">
        <v>74</v>
      </c>
      <c r="R344" t="s">
        <v>74</v>
      </c>
      <c r="S344" t="s">
        <v>74</v>
      </c>
      <c r="T344" t="s">
        <v>74</v>
      </c>
      <c r="U344" t="s">
        <v>4773</v>
      </c>
      <c r="V344" t="s">
        <v>4774</v>
      </c>
      <c r="W344" t="s">
        <v>4775</v>
      </c>
      <c r="X344" t="s">
        <v>4776</v>
      </c>
      <c r="Y344" t="s">
        <v>4777</v>
      </c>
      <c r="Z344" t="s">
        <v>74</v>
      </c>
      <c r="AA344" t="s">
        <v>74</v>
      </c>
      <c r="AB344" t="s">
        <v>74</v>
      </c>
      <c r="AC344" t="s">
        <v>74</v>
      </c>
      <c r="AD344" t="s">
        <v>74</v>
      </c>
      <c r="AE344" t="s">
        <v>74</v>
      </c>
      <c r="AF344" t="s">
        <v>74</v>
      </c>
      <c r="AG344">
        <v>63</v>
      </c>
      <c r="AH344">
        <v>22</v>
      </c>
      <c r="AI344">
        <v>30</v>
      </c>
      <c r="AJ344">
        <v>0</v>
      </c>
      <c r="AK344">
        <v>1</v>
      </c>
      <c r="AL344" t="s">
        <v>3435</v>
      </c>
      <c r="AM344" t="s">
        <v>998</v>
      </c>
      <c r="AN344" t="s">
        <v>999</v>
      </c>
      <c r="AO344" t="s">
        <v>4778</v>
      </c>
      <c r="AP344" t="s">
        <v>4779</v>
      </c>
      <c r="AQ344" t="s">
        <v>74</v>
      </c>
      <c r="AR344" t="s">
        <v>4772</v>
      </c>
      <c r="AS344" t="s">
        <v>1270</v>
      </c>
      <c r="AT344" t="s">
        <v>4100</v>
      </c>
      <c r="AU344">
        <v>1999</v>
      </c>
      <c r="AV344">
        <v>42</v>
      </c>
      <c r="AW344" t="s">
        <v>74</v>
      </c>
      <c r="AX344">
        <v>4</v>
      </c>
      <c r="AY344" t="s">
        <v>74</v>
      </c>
      <c r="AZ344" t="s">
        <v>74</v>
      </c>
      <c r="BA344" t="s">
        <v>74</v>
      </c>
      <c r="BB344">
        <v>663</v>
      </c>
      <c r="BC344">
        <v>675</v>
      </c>
      <c r="BD344" t="s">
        <v>74</v>
      </c>
      <c r="BE344" t="s">
        <v>4780</v>
      </c>
      <c r="BF344" t="str">
        <f>HYPERLINK("http://dx.doi.org/10.1111/1475-4983.00090","http://dx.doi.org/10.1111/1475-4983.00090")</f>
        <v>http://dx.doi.org/10.1111/1475-4983.00090</v>
      </c>
      <c r="BG344" t="s">
        <v>74</v>
      </c>
      <c r="BH344" t="s">
        <v>74</v>
      </c>
      <c r="BI344">
        <v>13</v>
      </c>
      <c r="BJ344" t="s">
        <v>1270</v>
      </c>
      <c r="BK344" t="s">
        <v>96</v>
      </c>
      <c r="BL344" t="s">
        <v>1270</v>
      </c>
      <c r="BM344" t="s">
        <v>4781</v>
      </c>
      <c r="BN344" t="s">
        <v>74</v>
      </c>
      <c r="BO344" t="s">
        <v>250</v>
      </c>
      <c r="BP344" t="s">
        <v>74</v>
      </c>
      <c r="BQ344" t="s">
        <v>74</v>
      </c>
      <c r="BR344" t="s">
        <v>99</v>
      </c>
      <c r="BS344" t="s">
        <v>4782</v>
      </c>
      <c r="BT344" t="str">
        <f>HYPERLINK("https%3A%2F%2Fwww.webofscience.com%2Fwos%2Fwoscc%2Ffull-record%2FWOS:000082722500005","View Full Record in Web of Science")</f>
        <v>View Full Record in Web of Science</v>
      </c>
    </row>
    <row r="345" spans="1:72" x14ac:dyDescent="0.15">
      <c r="A345" t="s">
        <v>72</v>
      </c>
      <c r="B345" t="s">
        <v>4783</v>
      </c>
      <c r="C345" t="s">
        <v>74</v>
      </c>
      <c r="D345" t="s">
        <v>74</v>
      </c>
      <c r="E345" t="s">
        <v>74</v>
      </c>
      <c r="F345" t="s">
        <v>4783</v>
      </c>
      <c r="G345" t="s">
        <v>74</v>
      </c>
      <c r="H345" t="s">
        <v>74</v>
      </c>
      <c r="I345" t="s">
        <v>4784</v>
      </c>
      <c r="J345" t="s">
        <v>4785</v>
      </c>
      <c r="K345" t="s">
        <v>74</v>
      </c>
      <c r="L345" t="s">
        <v>74</v>
      </c>
      <c r="M345" t="s">
        <v>77</v>
      </c>
      <c r="N345" t="s">
        <v>78</v>
      </c>
      <c r="O345" t="s">
        <v>74</v>
      </c>
      <c r="P345" t="s">
        <v>74</v>
      </c>
      <c r="Q345" t="s">
        <v>74</v>
      </c>
      <c r="R345" t="s">
        <v>74</v>
      </c>
      <c r="S345" t="s">
        <v>74</v>
      </c>
      <c r="T345" t="s">
        <v>74</v>
      </c>
      <c r="U345" t="s">
        <v>4786</v>
      </c>
      <c r="V345" t="s">
        <v>4787</v>
      </c>
      <c r="W345" t="s">
        <v>4788</v>
      </c>
      <c r="X345" t="s">
        <v>2899</v>
      </c>
      <c r="Y345" t="s">
        <v>4789</v>
      </c>
      <c r="Z345" t="s">
        <v>74</v>
      </c>
      <c r="AA345" t="s">
        <v>74</v>
      </c>
      <c r="AB345" t="s">
        <v>74</v>
      </c>
      <c r="AC345" t="s">
        <v>74</v>
      </c>
      <c r="AD345" t="s">
        <v>74</v>
      </c>
      <c r="AE345" t="s">
        <v>74</v>
      </c>
      <c r="AF345" t="s">
        <v>74</v>
      </c>
      <c r="AG345">
        <v>45</v>
      </c>
      <c r="AH345">
        <v>57</v>
      </c>
      <c r="AI345">
        <v>65</v>
      </c>
      <c r="AJ345">
        <v>1</v>
      </c>
      <c r="AK345">
        <v>11</v>
      </c>
      <c r="AL345" t="s">
        <v>553</v>
      </c>
      <c r="AM345" t="s">
        <v>554</v>
      </c>
      <c r="AN345" t="s">
        <v>555</v>
      </c>
      <c r="AO345" t="s">
        <v>4790</v>
      </c>
      <c r="AP345" t="s">
        <v>74</v>
      </c>
      <c r="AQ345" t="s">
        <v>74</v>
      </c>
      <c r="AR345" t="s">
        <v>4791</v>
      </c>
      <c r="AS345" t="s">
        <v>4792</v>
      </c>
      <c r="AT345" t="s">
        <v>4100</v>
      </c>
      <c r="AU345">
        <v>1999</v>
      </c>
      <c r="AV345">
        <v>85</v>
      </c>
      <c r="AW345" t="s">
        <v>4793</v>
      </c>
      <c r="AX345" t="s">
        <v>74</v>
      </c>
      <c r="AY345" t="s">
        <v>74</v>
      </c>
      <c r="AZ345" t="s">
        <v>74</v>
      </c>
      <c r="BA345" t="s">
        <v>74</v>
      </c>
      <c r="BB345">
        <v>638</v>
      </c>
      <c r="BC345">
        <v>646</v>
      </c>
      <c r="BD345" t="s">
        <v>74</v>
      </c>
      <c r="BE345" t="s">
        <v>4794</v>
      </c>
      <c r="BF345" t="str">
        <f>HYPERLINK("http://dx.doi.org/10.1007/s004360050608","http://dx.doi.org/10.1007/s004360050608")</f>
        <v>http://dx.doi.org/10.1007/s004360050608</v>
      </c>
      <c r="BG345" t="s">
        <v>74</v>
      </c>
      <c r="BH345" t="s">
        <v>74</v>
      </c>
      <c r="BI345">
        <v>9</v>
      </c>
      <c r="BJ345" t="s">
        <v>4795</v>
      </c>
      <c r="BK345" t="s">
        <v>96</v>
      </c>
      <c r="BL345" t="s">
        <v>4795</v>
      </c>
      <c r="BM345" t="s">
        <v>4796</v>
      </c>
      <c r="BN345">
        <v>10431726</v>
      </c>
      <c r="BO345" t="s">
        <v>74</v>
      </c>
      <c r="BP345" t="s">
        <v>74</v>
      </c>
      <c r="BQ345" t="s">
        <v>74</v>
      </c>
      <c r="BR345" t="s">
        <v>99</v>
      </c>
      <c r="BS345" t="s">
        <v>4797</v>
      </c>
      <c r="BT345" t="str">
        <f>HYPERLINK("https%3A%2F%2Fwww.webofscience.com%2Fwos%2Fwoscc%2Ffull-record%2FWOS:000081302800004","View Full Record in Web of Science")</f>
        <v>View Full Record in Web of Science</v>
      </c>
    </row>
    <row r="346" spans="1:72" x14ac:dyDescent="0.15">
      <c r="A346" t="s">
        <v>72</v>
      </c>
      <c r="B346" t="s">
        <v>4798</v>
      </c>
      <c r="C346" t="s">
        <v>74</v>
      </c>
      <c r="D346" t="s">
        <v>74</v>
      </c>
      <c r="E346" t="s">
        <v>74</v>
      </c>
      <c r="F346" t="s">
        <v>4798</v>
      </c>
      <c r="G346" t="s">
        <v>74</v>
      </c>
      <c r="H346" t="s">
        <v>74</v>
      </c>
      <c r="I346" t="s">
        <v>4799</v>
      </c>
      <c r="J346" t="s">
        <v>4800</v>
      </c>
      <c r="K346" t="s">
        <v>74</v>
      </c>
      <c r="L346" t="s">
        <v>74</v>
      </c>
      <c r="M346" t="s">
        <v>77</v>
      </c>
      <c r="N346" t="s">
        <v>78</v>
      </c>
      <c r="O346" t="s">
        <v>74</v>
      </c>
      <c r="P346" t="s">
        <v>74</v>
      </c>
      <c r="Q346" t="s">
        <v>74</v>
      </c>
      <c r="R346" t="s">
        <v>74</v>
      </c>
      <c r="S346" t="s">
        <v>74</v>
      </c>
      <c r="T346" t="s">
        <v>74</v>
      </c>
      <c r="U346" t="s">
        <v>4801</v>
      </c>
      <c r="V346" t="s">
        <v>4802</v>
      </c>
      <c r="W346" t="s">
        <v>4803</v>
      </c>
      <c r="X346" t="s">
        <v>4804</v>
      </c>
      <c r="Y346" t="s">
        <v>4805</v>
      </c>
      <c r="Z346" t="s">
        <v>74</v>
      </c>
      <c r="AA346" t="s">
        <v>74</v>
      </c>
      <c r="AB346" t="s">
        <v>74</v>
      </c>
      <c r="AC346" t="s">
        <v>74</v>
      </c>
      <c r="AD346" t="s">
        <v>74</v>
      </c>
      <c r="AE346" t="s">
        <v>74</v>
      </c>
      <c r="AF346" t="s">
        <v>74</v>
      </c>
      <c r="AG346">
        <v>55</v>
      </c>
      <c r="AH346">
        <v>33</v>
      </c>
      <c r="AI346">
        <v>34</v>
      </c>
      <c r="AJ346">
        <v>0</v>
      </c>
      <c r="AK346">
        <v>7</v>
      </c>
      <c r="AL346" t="s">
        <v>275</v>
      </c>
      <c r="AM346" t="s">
        <v>276</v>
      </c>
      <c r="AN346" t="s">
        <v>277</v>
      </c>
      <c r="AO346" t="s">
        <v>4806</v>
      </c>
      <c r="AP346" t="s">
        <v>74</v>
      </c>
      <c r="AQ346" t="s">
        <v>74</v>
      </c>
      <c r="AR346" t="s">
        <v>4807</v>
      </c>
      <c r="AS346" t="s">
        <v>4808</v>
      </c>
      <c r="AT346" t="s">
        <v>4809</v>
      </c>
      <c r="AU346">
        <v>1999</v>
      </c>
      <c r="AV346">
        <v>47</v>
      </c>
      <c r="AW346" t="s">
        <v>4793</v>
      </c>
      <c r="AX346" t="s">
        <v>74</v>
      </c>
      <c r="AY346" t="s">
        <v>74</v>
      </c>
      <c r="AZ346" t="s">
        <v>74</v>
      </c>
      <c r="BA346" t="s">
        <v>74</v>
      </c>
      <c r="BB346">
        <v>951</v>
      </c>
      <c r="BC346">
        <v>970</v>
      </c>
      <c r="BD346" t="s">
        <v>74</v>
      </c>
      <c r="BE346" t="s">
        <v>4810</v>
      </c>
      <c r="BF346" t="str">
        <f>HYPERLINK("http://dx.doi.org/10.1016/S0032-0633(99)00016-1","http://dx.doi.org/10.1016/S0032-0633(99)00016-1")</f>
        <v>http://dx.doi.org/10.1016/S0032-0633(99)00016-1</v>
      </c>
      <c r="BG346" t="s">
        <v>74</v>
      </c>
      <c r="BH346" t="s">
        <v>74</v>
      </c>
      <c r="BI346">
        <v>20</v>
      </c>
      <c r="BJ346" t="s">
        <v>1076</v>
      </c>
      <c r="BK346" t="s">
        <v>96</v>
      </c>
      <c r="BL346" t="s">
        <v>1076</v>
      </c>
      <c r="BM346" t="s">
        <v>4811</v>
      </c>
      <c r="BN346" t="s">
        <v>74</v>
      </c>
      <c r="BO346" t="s">
        <v>74</v>
      </c>
      <c r="BP346" t="s">
        <v>74</v>
      </c>
      <c r="BQ346" t="s">
        <v>74</v>
      </c>
      <c r="BR346" t="s">
        <v>99</v>
      </c>
      <c r="BS346" t="s">
        <v>4812</v>
      </c>
      <c r="BT346" t="str">
        <f>HYPERLINK("https%3A%2F%2Fwww.webofscience.com%2Fwos%2Fwoscc%2Ffull-record%2FWOS:000082234100002","View Full Record in Web of Science")</f>
        <v>View Full Record in Web of Science</v>
      </c>
    </row>
    <row r="347" spans="1:72" x14ac:dyDescent="0.15">
      <c r="A347" t="s">
        <v>72</v>
      </c>
      <c r="B347" t="s">
        <v>4813</v>
      </c>
      <c r="C347" t="s">
        <v>74</v>
      </c>
      <c r="D347" t="s">
        <v>74</v>
      </c>
      <c r="E347" t="s">
        <v>74</v>
      </c>
      <c r="F347" t="s">
        <v>4813</v>
      </c>
      <c r="G347" t="s">
        <v>74</v>
      </c>
      <c r="H347" t="s">
        <v>74</v>
      </c>
      <c r="I347" t="s">
        <v>4814</v>
      </c>
      <c r="J347" t="s">
        <v>1375</v>
      </c>
      <c r="K347" t="s">
        <v>74</v>
      </c>
      <c r="L347" t="s">
        <v>74</v>
      </c>
      <c r="M347" t="s">
        <v>77</v>
      </c>
      <c r="N347" t="s">
        <v>78</v>
      </c>
      <c r="O347" t="s">
        <v>74</v>
      </c>
      <c r="P347" t="s">
        <v>74</v>
      </c>
      <c r="Q347" t="s">
        <v>74</v>
      </c>
      <c r="R347" t="s">
        <v>74</v>
      </c>
      <c r="S347" t="s">
        <v>74</v>
      </c>
      <c r="T347" t="s">
        <v>74</v>
      </c>
      <c r="U347" t="s">
        <v>4815</v>
      </c>
      <c r="V347" t="s">
        <v>4816</v>
      </c>
      <c r="W347" t="s">
        <v>4817</v>
      </c>
      <c r="X347" t="s">
        <v>2963</v>
      </c>
      <c r="Y347" t="s">
        <v>4818</v>
      </c>
      <c r="Z347" t="s">
        <v>74</v>
      </c>
      <c r="AA347" t="s">
        <v>74</v>
      </c>
      <c r="AB347" t="s">
        <v>4819</v>
      </c>
      <c r="AC347" t="s">
        <v>74</v>
      </c>
      <c r="AD347" t="s">
        <v>74</v>
      </c>
      <c r="AE347" t="s">
        <v>74</v>
      </c>
      <c r="AF347" t="s">
        <v>74</v>
      </c>
      <c r="AG347">
        <v>52</v>
      </c>
      <c r="AH347">
        <v>17</v>
      </c>
      <c r="AI347">
        <v>20</v>
      </c>
      <c r="AJ347">
        <v>0</v>
      </c>
      <c r="AK347">
        <v>3</v>
      </c>
      <c r="AL347" t="s">
        <v>553</v>
      </c>
      <c r="AM347" t="s">
        <v>554</v>
      </c>
      <c r="AN347" t="s">
        <v>555</v>
      </c>
      <c r="AO347" t="s">
        <v>1379</v>
      </c>
      <c r="AP347" t="s">
        <v>74</v>
      </c>
      <c r="AQ347" t="s">
        <v>74</v>
      </c>
      <c r="AR347" t="s">
        <v>1380</v>
      </c>
      <c r="AS347" t="s">
        <v>1381</v>
      </c>
      <c r="AT347" t="s">
        <v>4100</v>
      </c>
      <c r="AU347">
        <v>1999</v>
      </c>
      <c r="AV347">
        <v>22</v>
      </c>
      <c r="AW347">
        <v>2</v>
      </c>
      <c r="AX347" t="s">
        <v>74</v>
      </c>
      <c r="AY347" t="s">
        <v>74</v>
      </c>
      <c r="AZ347" t="s">
        <v>74</v>
      </c>
      <c r="BA347" t="s">
        <v>74</v>
      </c>
      <c r="BB347">
        <v>93</v>
      </c>
      <c r="BC347">
        <v>101</v>
      </c>
      <c r="BD347" t="s">
        <v>74</v>
      </c>
      <c r="BE347" t="s">
        <v>4820</v>
      </c>
      <c r="BF347" t="str">
        <f>HYPERLINK("http://dx.doi.org/10.1007/s003000050395","http://dx.doi.org/10.1007/s003000050395")</f>
        <v>http://dx.doi.org/10.1007/s003000050395</v>
      </c>
      <c r="BG347" t="s">
        <v>74</v>
      </c>
      <c r="BH347" t="s">
        <v>74</v>
      </c>
      <c r="BI347">
        <v>9</v>
      </c>
      <c r="BJ347" t="s">
        <v>1383</v>
      </c>
      <c r="BK347" t="s">
        <v>96</v>
      </c>
      <c r="BL347" t="s">
        <v>1384</v>
      </c>
      <c r="BM347" t="s">
        <v>4821</v>
      </c>
      <c r="BN347" t="s">
        <v>74</v>
      </c>
      <c r="BO347" t="s">
        <v>74</v>
      </c>
      <c r="BP347" t="s">
        <v>74</v>
      </c>
      <c r="BQ347" t="s">
        <v>74</v>
      </c>
      <c r="BR347" t="s">
        <v>99</v>
      </c>
      <c r="BS347" t="s">
        <v>4822</v>
      </c>
      <c r="BT347" t="str">
        <f>HYPERLINK("https%3A%2F%2Fwww.webofscience.com%2Fwos%2Fwoscc%2Ffull-record%2FWOS:000081850300004","View Full Record in Web of Science")</f>
        <v>View Full Record in Web of Science</v>
      </c>
    </row>
    <row r="348" spans="1:72" x14ac:dyDescent="0.15">
      <c r="A348" t="s">
        <v>72</v>
      </c>
      <c r="B348" t="s">
        <v>4823</v>
      </c>
      <c r="C348" t="s">
        <v>74</v>
      </c>
      <c r="D348" t="s">
        <v>74</v>
      </c>
      <c r="E348" t="s">
        <v>74</v>
      </c>
      <c r="F348" t="s">
        <v>4823</v>
      </c>
      <c r="G348" t="s">
        <v>74</v>
      </c>
      <c r="H348" t="s">
        <v>74</v>
      </c>
      <c r="I348" t="s">
        <v>4824</v>
      </c>
      <c r="J348" t="s">
        <v>1375</v>
      </c>
      <c r="K348" t="s">
        <v>74</v>
      </c>
      <c r="L348" t="s">
        <v>74</v>
      </c>
      <c r="M348" t="s">
        <v>77</v>
      </c>
      <c r="N348" t="s">
        <v>78</v>
      </c>
      <c r="O348" t="s">
        <v>74</v>
      </c>
      <c r="P348" t="s">
        <v>74</v>
      </c>
      <c r="Q348" t="s">
        <v>74</v>
      </c>
      <c r="R348" t="s">
        <v>74</v>
      </c>
      <c r="S348" t="s">
        <v>74</v>
      </c>
      <c r="T348" t="s">
        <v>74</v>
      </c>
      <c r="U348" t="s">
        <v>4825</v>
      </c>
      <c r="V348" t="s">
        <v>4826</v>
      </c>
      <c r="W348" t="s">
        <v>4827</v>
      </c>
      <c r="X348" t="s">
        <v>4828</v>
      </c>
      <c r="Y348" t="s">
        <v>4829</v>
      </c>
      <c r="Z348" t="s">
        <v>74</v>
      </c>
      <c r="AA348" t="s">
        <v>4830</v>
      </c>
      <c r="AB348" t="s">
        <v>4831</v>
      </c>
      <c r="AC348" t="s">
        <v>74</v>
      </c>
      <c r="AD348" t="s">
        <v>74</v>
      </c>
      <c r="AE348" t="s">
        <v>74</v>
      </c>
      <c r="AF348" t="s">
        <v>74</v>
      </c>
      <c r="AG348">
        <v>28</v>
      </c>
      <c r="AH348">
        <v>43</v>
      </c>
      <c r="AI348">
        <v>46</v>
      </c>
      <c r="AJ348">
        <v>0</v>
      </c>
      <c r="AK348">
        <v>14</v>
      </c>
      <c r="AL348" t="s">
        <v>553</v>
      </c>
      <c r="AM348" t="s">
        <v>554</v>
      </c>
      <c r="AN348" t="s">
        <v>555</v>
      </c>
      <c r="AO348" t="s">
        <v>1379</v>
      </c>
      <c r="AP348" t="s">
        <v>74</v>
      </c>
      <c r="AQ348" t="s">
        <v>74</v>
      </c>
      <c r="AR348" t="s">
        <v>1380</v>
      </c>
      <c r="AS348" t="s">
        <v>1381</v>
      </c>
      <c r="AT348" t="s">
        <v>4100</v>
      </c>
      <c r="AU348">
        <v>1999</v>
      </c>
      <c r="AV348">
        <v>22</v>
      </c>
      <c r="AW348">
        <v>2</v>
      </c>
      <c r="AX348" t="s">
        <v>74</v>
      </c>
      <c r="AY348" t="s">
        <v>74</v>
      </c>
      <c r="AZ348" t="s">
        <v>74</v>
      </c>
      <c r="BA348" t="s">
        <v>74</v>
      </c>
      <c r="BB348">
        <v>102</v>
      </c>
      <c r="BC348">
        <v>108</v>
      </c>
      <c r="BD348" t="s">
        <v>74</v>
      </c>
      <c r="BE348" t="s">
        <v>4832</v>
      </c>
      <c r="BF348" t="str">
        <f>HYPERLINK("http://dx.doi.org/10.1007/s003000050396","http://dx.doi.org/10.1007/s003000050396")</f>
        <v>http://dx.doi.org/10.1007/s003000050396</v>
      </c>
      <c r="BG348" t="s">
        <v>74</v>
      </c>
      <c r="BH348" t="s">
        <v>74</v>
      </c>
      <c r="BI348">
        <v>7</v>
      </c>
      <c r="BJ348" t="s">
        <v>1383</v>
      </c>
      <c r="BK348" t="s">
        <v>96</v>
      </c>
      <c r="BL348" t="s">
        <v>1384</v>
      </c>
      <c r="BM348" t="s">
        <v>4821</v>
      </c>
      <c r="BN348" t="s">
        <v>74</v>
      </c>
      <c r="BO348" t="s">
        <v>74</v>
      </c>
      <c r="BP348" t="s">
        <v>74</v>
      </c>
      <c r="BQ348" t="s">
        <v>74</v>
      </c>
      <c r="BR348" t="s">
        <v>99</v>
      </c>
      <c r="BS348" t="s">
        <v>4833</v>
      </c>
      <c r="BT348" t="str">
        <f>HYPERLINK("https%3A%2F%2Fwww.webofscience.com%2Fwos%2Fwoscc%2Ffull-record%2FWOS:000081850300005","View Full Record in Web of Science")</f>
        <v>View Full Record in Web of Science</v>
      </c>
    </row>
    <row r="349" spans="1:72" x14ac:dyDescent="0.15">
      <c r="A349" t="s">
        <v>72</v>
      </c>
      <c r="B349" t="s">
        <v>4834</v>
      </c>
      <c r="C349" t="s">
        <v>74</v>
      </c>
      <c r="D349" t="s">
        <v>74</v>
      </c>
      <c r="E349" t="s">
        <v>74</v>
      </c>
      <c r="F349" t="s">
        <v>4834</v>
      </c>
      <c r="G349" t="s">
        <v>74</v>
      </c>
      <c r="H349" t="s">
        <v>74</v>
      </c>
      <c r="I349" t="s">
        <v>4835</v>
      </c>
      <c r="J349" t="s">
        <v>1375</v>
      </c>
      <c r="K349" t="s">
        <v>74</v>
      </c>
      <c r="L349" t="s">
        <v>74</v>
      </c>
      <c r="M349" t="s">
        <v>77</v>
      </c>
      <c r="N349" t="s">
        <v>78</v>
      </c>
      <c r="O349" t="s">
        <v>74</v>
      </c>
      <c r="P349" t="s">
        <v>74</v>
      </c>
      <c r="Q349" t="s">
        <v>74</v>
      </c>
      <c r="R349" t="s">
        <v>74</v>
      </c>
      <c r="S349" t="s">
        <v>74</v>
      </c>
      <c r="T349" t="s">
        <v>74</v>
      </c>
      <c r="U349" t="s">
        <v>4836</v>
      </c>
      <c r="V349" t="s">
        <v>4837</v>
      </c>
      <c r="W349" t="s">
        <v>1928</v>
      </c>
      <c r="X349" t="s">
        <v>131</v>
      </c>
      <c r="Y349" t="s">
        <v>2310</v>
      </c>
      <c r="Z349" t="s">
        <v>74</v>
      </c>
      <c r="AA349" t="s">
        <v>4838</v>
      </c>
      <c r="AB349" t="s">
        <v>4839</v>
      </c>
      <c r="AC349" t="s">
        <v>74</v>
      </c>
      <c r="AD349" t="s">
        <v>74</v>
      </c>
      <c r="AE349" t="s">
        <v>74</v>
      </c>
      <c r="AF349" t="s">
        <v>74</v>
      </c>
      <c r="AG349">
        <v>52</v>
      </c>
      <c r="AH349">
        <v>10</v>
      </c>
      <c r="AI349">
        <v>11</v>
      </c>
      <c r="AJ349">
        <v>0</v>
      </c>
      <c r="AK349">
        <v>2</v>
      </c>
      <c r="AL349" t="s">
        <v>553</v>
      </c>
      <c r="AM349" t="s">
        <v>554</v>
      </c>
      <c r="AN349" t="s">
        <v>555</v>
      </c>
      <c r="AO349" t="s">
        <v>1379</v>
      </c>
      <c r="AP349" t="s">
        <v>74</v>
      </c>
      <c r="AQ349" t="s">
        <v>74</v>
      </c>
      <c r="AR349" t="s">
        <v>1380</v>
      </c>
      <c r="AS349" t="s">
        <v>1381</v>
      </c>
      <c r="AT349" t="s">
        <v>4100</v>
      </c>
      <c r="AU349">
        <v>1999</v>
      </c>
      <c r="AV349">
        <v>22</v>
      </c>
      <c r="AW349">
        <v>2</v>
      </c>
      <c r="AX349" t="s">
        <v>74</v>
      </c>
      <c r="AY349" t="s">
        <v>74</v>
      </c>
      <c r="AZ349" t="s">
        <v>74</v>
      </c>
      <c r="BA349" t="s">
        <v>74</v>
      </c>
      <c r="BB349">
        <v>109</v>
      </c>
      <c r="BC349">
        <v>114</v>
      </c>
      <c r="BD349" t="s">
        <v>74</v>
      </c>
      <c r="BE349" t="s">
        <v>4840</v>
      </c>
      <c r="BF349" t="str">
        <f>HYPERLINK("http://dx.doi.org/10.1007/s003000050397","http://dx.doi.org/10.1007/s003000050397")</f>
        <v>http://dx.doi.org/10.1007/s003000050397</v>
      </c>
      <c r="BG349" t="s">
        <v>74</v>
      </c>
      <c r="BH349" t="s">
        <v>74</v>
      </c>
      <c r="BI349">
        <v>6</v>
      </c>
      <c r="BJ349" t="s">
        <v>1383</v>
      </c>
      <c r="BK349" t="s">
        <v>96</v>
      </c>
      <c r="BL349" t="s">
        <v>1384</v>
      </c>
      <c r="BM349" t="s">
        <v>4821</v>
      </c>
      <c r="BN349" t="s">
        <v>74</v>
      </c>
      <c r="BO349" t="s">
        <v>74</v>
      </c>
      <c r="BP349" t="s">
        <v>74</v>
      </c>
      <c r="BQ349" t="s">
        <v>74</v>
      </c>
      <c r="BR349" t="s">
        <v>99</v>
      </c>
      <c r="BS349" t="s">
        <v>4841</v>
      </c>
      <c r="BT349" t="str">
        <f>HYPERLINK("https%3A%2F%2Fwww.webofscience.com%2Fwos%2Fwoscc%2Ffull-record%2FWOS:000081850300006","View Full Record in Web of Science")</f>
        <v>View Full Record in Web of Science</v>
      </c>
    </row>
    <row r="350" spans="1:72" x14ac:dyDescent="0.15">
      <c r="A350" t="s">
        <v>72</v>
      </c>
      <c r="B350" t="s">
        <v>4842</v>
      </c>
      <c r="C350" t="s">
        <v>74</v>
      </c>
      <c r="D350" t="s">
        <v>74</v>
      </c>
      <c r="E350" t="s">
        <v>74</v>
      </c>
      <c r="F350" t="s">
        <v>4842</v>
      </c>
      <c r="G350" t="s">
        <v>74</v>
      </c>
      <c r="H350" t="s">
        <v>74</v>
      </c>
      <c r="I350" t="s">
        <v>4843</v>
      </c>
      <c r="J350" t="s">
        <v>1375</v>
      </c>
      <c r="K350" t="s">
        <v>74</v>
      </c>
      <c r="L350" t="s">
        <v>74</v>
      </c>
      <c r="M350" t="s">
        <v>77</v>
      </c>
      <c r="N350" t="s">
        <v>78</v>
      </c>
      <c r="O350" t="s">
        <v>74</v>
      </c>
      <c r="P350" t="s">
        <v>74</v>
      </c>
      <c r="Q350" t="s">
        <v>74</v>
      </c>
      <c r="R350" t="s">
        <v>74</v>
      </c>
      <c r="S350" t="s">
        <v>74</v>
      </c>
      <c r="T350" t="s">
        <v>74</v>
      </c>
      <c r="U350" t="s">
        <v>4844</v>
      </c>
      <c r="V350" t="s">
        <v>4845</v>
      </c>
      <c r="W350" t="s">
        <v>4846</v>
      </c>
      <c r="X350" t="s">
        <v>4847</v>
      </c>
      <c r="Y350" t="s">
        <v>4848</v>
      </c>
      <c r="Z350" t="s">
        <v>74</v>
      </c>
      <c r="AA350" t="s">
        <v>74</v>
      </c>
      <c r="AB350" t="s">
        <v>74</v>
      </c>
      <c r="AC350" t="s">
        <v>74</v>
      </c>
      <c r="AD350" t="s">
        <v>74</v>
      </c>
      <c r="AE350" t="s">
        <v>74</v>
      </c>
      <c r="AF350" t="s">
        <v>74</v>
      </c>
      <c r="AG350">
        <v>36</v>
      </c>
      <c r="AH350">
        <v>49</v>
      </c>
      <c r="AI350">
        <v>56</v>
      </c>
      <c r="AJ350">
        <v>0</v>
      </c>
      <c r="AK350">
        <v>19</v>
      </c>
      <c r="AL350" t="s">
        <v>553</v>
      </c>
      <c r="AM350" t="s">
        <v>554</v>
      </c>
      <c r="AN350" t="s">
        <v>555</v>
      </c>
      <c r="AO350" t="s">
        <v>1379</v>
      </c>
      <c r="AP350" t="s">
        <v>74</v>
      </c>
      <c r="AQ350" t="s">
        <v>74</v>
      </c>
      <c r="AR350" t="s">
        <v>1380</v>
      </c>
      <c r="AS350" t="s">
        <v>1381</v>
      </c>
      <c r="AT350" t="s">
        <v>4100</v>
      </c>
      <c r="AU350">
        <v>1999</v>
      </c>
      <c r="AV350">
        <v>22</v>
      </c>
      <c r="AW350">
        <v>2</v>
      </c>
      <c r="AX350" t="s">
        <v>74</v>
      </c>
      <c r="AY350" t="s">
        <v>74</v>
      </c>
      <c r="AZ350" t="s">
        <v>74</v>
      </c>
      <c r="BA350" t="s">
        <v>74</v>
      </c>
      <c r="BB350">
        <v>115</v>
      </c>
      <c r="BC350">
        <v>123</v>
      </c>
      <c r="BD350" t="s">
        <v>74</v>
      </c>
      <c r="BE350" t="s">
        <v>4849</v>
      </c>
      <c r="BF350" t="str">
        <f>HYPERLINK("http://dx.doi.org/10.1007/s003000050398","http://dx.doi.org/10.1007/s003000050398")</f>
        <v>http://dx.doi.org/10.1007/s003000050398</v>
      </c>
      <c r="BG350" t="s">
        <v>74</v>
      </c>
      <c r="BH350" t="s">
        <v>74</v>
      </c>
      <c r="BI350">
        <v>9</v>
      </c>
      <c r="BJ350" t="s">
        <v>1383</v>
      </c>
      <c r="BK350" t="s">
        <v>96</v>
      </c>
      <c r="BL350" t="s">
        <v>1384</v>
      </c>
      <c r="BM350" t="s">
        <v>4821</v>
      </c>
      <c r="BN350" t="s">
        <v>74</v>
      </c>
      <c r="BO350" t="s">
        <v>74</v>
      </c>
      <c r="BP350" t="s">
        <v>74</v>
      </c>
      <c r="BQ350" t="s">
        <v>74</v>
      </c>
      <c r="BR350" t="s">
        <v>99</v>
      </c>
      <c r="BS350" t="s">
        <v>4850</v>
      </c>
      <c r="BT350" t="str">
        <f>HYPERLINK("https%3A%2F%2Fwww.webofscience.com%2Fwos%2Fwoscc%2Ffull-record%2FWOS:000081850300007","View Full Record in Web of Science")</f>
        <v>View Full Record in Web of Science</v>
      </c>
    </row>
    <row r="351" spans="1:72" x14ac:dyDescent="0.15">
      <c r="A351" t="s">
        <v>72</v>
      </c>
      <c r="B351" t="s">
        <v>4851</v>
      </c>
      <c r="C351" t="s">
        <v>74</v>
      </c>
      <c r="D351" t="s">
        <v>74</v>
      </c>
      <c r="E351" t="s">
        <v>74</v>
      </c>
      <c r="F351" t="s">
        <v>4851</v>
      </c>
      <c r="G351" t="s">
        <v>74</v>
      </c>
      <c r="H351" t="s">
        <v>74</v>
      </c>
      <c r="I351" t="s">
        <v>4852</v>
      </c>
      <c r="J351" t="s">
        <v>1375</v>
      </c>
      <c r="K351" t="s">
        <v>74</v>
      </c>
      <c r="L351" t="s">
        <v>74</v>
      </c>
      <c r="M351" t="s">
        <v>77</v>
      </c>
      <c r="N351" t="s">
        <v>78</v>
      </c>
      <c r="O351" t="s">
        <v>74</v>
      </c>
      <c r="P351" t="s">
        <v>74</v>
      </c>
      <c r="Q351" t="s">
        <v>74</v>
      </c>
      <c r="R351" t="s">
        <v>74</v>
      </c>
      <c r="S351" t="s">
        <v>74</v>
      </c>
      <c r="T351" t="s">
        <v>74</v>
      </c>
      <c r="U351" t="s">
        <v>4853</v>
      </c>
      <c r="V351" t="s">
        <v>4854</v>
      </c>
      <c r="W351" t="s">
        <v>4855</v>
      </c>
      <c r="X351" t="s">
        <v>4856</v>
      </c>
      <c r="Y351" t="s">
        <v>4857</v>
      </c>
      <c r="Z351" t="s">
        <v>74</v>
      </c>
      <c r="AA351" t="s">
        <v>4858</v>
      </c>
      <c r="AB351" t="s">
        <v>4859</v>
      </c>
      <c r="AC351" t="s">
        <v>74</v>
      </c>
      <c r="AD351" t="s">
        <v>74</v>
      </c>
      <c r="AE351" t="s">
        <v>74</v>
      </c>
      <c r="AF351" t="s">
        <v>74</v>
      </c>
      <c r="AG351">
        <v>15</v>
      </c>
      <c r="AH351">
        <v>23</v>
      </c>
      <c r="AI351">
        <v>25</v>
      </c>
      <c r="AJ351">
        <v>0</v>
      </c>
      <c r="AK351">
        <v>1</v>
      </c>
      <c r="AL351" t="s">
        <v>553</v>
      </c>
      <c r="AM351" t="s">
        <v>554</v>
      </c>
      <c r="AN351" t="s">
        <v>555</v>
      </c>
      <c r="AO351" t="s">
        <v>1379</v>
      </c>
      <c r="AP351" t="s">
        <v>74</v>
      </c>
      <c r="AQ351" t="s">
        <v>74</v>
      </c>
      <c r="AR351" t="s">
        <v>1380</v>
      </c>
      <c r="AS351" t="s">
        <v>1381</v>
      </c>
      <c r="AT351" t="s">
        <v>4100</v>
      </c>
      <c r="AU351">
        <v>1999</v>
      </c>
      <c r="AV351">
        <v>22</v>
      </c>
      <c r="AW351">
        <v>2</v>
      </c>
      <c r="AX351" t="s">
        <v>74</v>
      </c>
      <c r="AY351" t="s">
        <v>74</v>
      </c>
      <c r="AZ351" t="s">
        <v>74</v>
      </c>
      <c r="BA351" t="s">
        <v>74</v>
      </c>
      <c r="BB351">
        <v>133</v>
      </c>
      <c r="BC351">
        <v>136</v>
      </c>
      <c r="BD351" t="s">
        <v>74</v>
      </c>
      <c r="BE351" t="s">
        <v>4860</v>
      </c>
      <c r="BF351" t="str">
        <f>HYPERLINK("http://dx.doi.org/10.1007/s003000050400","http://dx.doi.org/10.1007/s003000050400")</f>
        <v>http://dx.doi.org/10.1007/s003000050400</v>
      </c>
      <c r="BG351" t="s">
        <v>74</v>
      </c>
      <c r="BH351" t="s">
        <v>74</v>
      </c>
      <c r="BI351">
        <v>4</v>
      </c>
      <c r="BJ351" t="s">
        <v>1383</v>
      </c>
      <c r="BK351" t="s">
        <v>96</v>
      </c>
      <c r="BL351" t="s">
        <v>1384</v>
      </c>
      <c r="BM351" t="s">
        <v>4821</v>
      </c>
      <c r="BN351" t="s">
        <v>74</v>
      </c>
      <c r="BO351" t="s">
        <v>74</v>
      </c>
      <c r="BP351" t="s">
        <v>74</v>
      </c>
      <c r="BQ351" t="s">
        <v>74</v>
      </c>
      <c r="BR351" t="s">
        <v>99</v>
      </c>
      <c r="BS351" t="s">
        <v>4861</v>
      </c>
      <c r="BT351" t="str">
        <f>HYPERLINK("https%3A%2F%2Fwww.webofscience.com%2Fwos%2Fwoscc%2Ffull-record%2FWOS:000081850300009","View Full Record in Web of Science")</f>
        <v>View Full Record in Web of Science</v>
      </c>
    </row>
    <row r="352" spans="1:72" x14ac:dyDescent="0.15">
      <c r="A352" t="s">
        <v>72</v>
      </c>
      <c r="B352" t="s">
        <v>4862</v>
      </c>
      <c r="C352" t="s">
        <v>74</v>
      </c>
      <c r="D352" t="s">
        <v>74</v>
      </c>
      <c r="E352" t="s">
        <v>74</v>
      </c>
      <c r="F352" t="s">
        <v>4862</v>
      </c>
      <c r="G352" t="s">
        <v>74</v>
      </c>
      <c r="H352" t="s">
        <v>74</v>
      </c>
      <c r="I352" t="s">
        <v>4863</v>
      </c>
      <c r="J352" t="s">
        <v>1375</v>
      </c>
      <c r="K352" t="s">
        <v>74</v>
      </c>
      <c r="L352" t="s">
        <v>74</v>
      </c>
      <c r="M352" t="s">
        <v>77</v>
      </c>
      <c r="N352" t="s">
        <v>78</v>
      </c>
      <c r="O352" t="s">
        <v>74</v>
      </c>
      <c r="P352" t="s">
        <v>74</v>
      </c>
      <c r="Q352" t="s">
        <v>74</v>
      </c>
      <c r="R352" t="s">
        <v>74</v>
      </c>
      <c r="S352" t="s">
        <v>74</v>
      </c>
      <c r="T352" t="s">
        <v>74</v>
      </c>
      <c r="U352" t="s">
        <v>4864</v>
      </c>
      <c r="V352" t="s">
        <v>4865</v>
      </c>
      <c r="W352" t="s">
        <v>4866</v>
      </c>
      <c r="X352" t="s">
        <v>4867</v>
      </c>
      <c r="Y352" t="s">
        <v>4868</v>
      </c>
      <c r="Z352" t="s">
        <v>74</v>
      </c>
      <c r="AA352" t="s">
        <v>74</v>
      </c>
      <c r="AB352" t="s">
        <v>74</v>
      </c>
      <c r="AC352" t="s">
        <v>74</v>
      </c>
      <c r="AD352" t="s">
        <v>74</v>
      </c>
      <c r="AE352" t="s">
        <v>74</v>
      </c>
      <c r="AF352" t="s">
        <v>74</v>
      </c>
      <c r="AG352">
        <v>22</v>
      </c>
      <c r="AH352">
        <v>38</v>
      </c>
      <c r="AI352">
        <v>47</v>
      </c>
      <c r="AJ352">
        <v>0</v>
      </c>
      <c r="AK352">
        <v>11</v>
      </c>
      <c r="AL352" t="s">
        <v>553</v>
      </c>
      <c r="AM352" t="s">
        <v>554</v>
      </c>
      <c r="AN352" t="s">
        <v>555</v>
      </c>
      <c r="AO352" t="s">
        <v>1379</v>
      </c>
      <c r="AP352" t="s">
        <v>74</v>
      </c>
      <c r="AQ352" t="s">
        <v>74</v>
      </c>
      <c r="AR352" t="s">
        <v>1380</v>
      </c>
      <c r="AS352" t="s">
        <v>1381</v>
      </c>
      <c r="AT352" t="s">
        <v>4100</v>
      </c>
      <c r="AU352">
        <v>1999</v>
      </c>
      <c r="AV352">
        <v>22</v>
      </c>
      <c r="AW352">
        <v>2</v>
      </c>
      <c r="AX352" t="s">
        <v>74</v>
      </c>
      <c r="AY352" t="s">
        <v>74</v>
      </c>
      <c r="AZ352" t="s">
        <v>74</v>
      </c>
      <c r="BA352" t="s">
        <v>74</v>
      </c>
      <c r="BB352">
        <v>137</v>
      </c>
      <c r="BC352">
        <v>140</v>
      </c>
      <c r="BD352" t="s">
        <v>74</v>
      </c>
      <c r="BE352" t="s">
        <v>4869</v>
      </c>
      <c r="BF352" t="str">
        <f>HYPERLINK("http://dx.doi.org/10.1007/s003000050401","http://dx.doi.org/10.1007/s003000050401")</f>
        <v>http://dx.doi.org/10.1007/s003000050401</v>
      </c>
      <c r="BG352" t="s">
        <v>74</v>
      </c>
      <c r="BH352" t="s">
        <v>74</v>
      </c>
      <c r="BI352">
        <v>4</v>
      </c>
      <c r="BJ352" t="s">
        <v>1383</v>
      </c>
      <c r="BK352" t="s">
        <v>96</v>
      </c>
      <c r="BL352" t="s">
        <v>1384</v>
      </c>
      <c r="BM352" t="s">
        <v>4821</v>
      </c>
      <c r="BN352" t="s">
        <v>74</v>
      </c>
      <c r="BO352" t="s">
        <v>74</v>
      </c>
      <c r="BP352" t="s">
        <v>74</v>
      </c>
      <c r="BQ352" t="s">
        <v>74</v>
      </c>
      <c r="BR352" t="s">
        <v>99</v>
      </c>
      <c r="BS352" t="s">
        <v>4870</v>
      </c>
      <c r="BT352" t="str">
        <f>HYPERLINK("https%3A%2F%2Fwww.webofscience.com%2Fwos%2Fwoscc%2Ffull-record%2FWOS:000081850300010","View Full Record in Web of Science")</f>
        <v>View Full Record in Web of Science</v>
      </c>
    </row>
    <row r="353" spans="1:72" x14ac:dyDescent="0.15">
      <c r="A353" t="s">
        <v>72</v>
      </c>
      <c r="B353" t="s">
        <v>4871</v>
      </c>
      <c r="C353" t="s">
        <v>74</v>
      </c>
      <c r="D353" t="s">
        <v>74</v>
      </c>
      <c r="E353" t="s">
        <v>74</v>
      </c>
      <c r="F353" t="s">
        <v>4871</v>
      </c>
      <c r="G353" t="s">
        <v>74</v>
      </c>
      <c r="H353" t="s">
        <v>74</v>
      </c>
      <c r="I353" t="s">
        <v>4872</v>
      </c>
      <c r="J353" t="s">
        <v>1375</v>
      </c>
      <c r="K353" t="s">
        <v>74</v>
      </c>
      <c r="L353" t="s">
        <v>74</v>
      </c>
      <c r="M353" t="s">
        <v>77</v>
      </c>
      <c r="N353" t="s">
        <v>4304</v>
      </c>
      <c r="O353" t="s">
        <v>74</v>
      </c>
      <c r="P353" t="s">
        <v>74</v>
      </c>
      <c r="Q353" t="s">
        <v>74</v>
      </c>
      <c r="R353" t="s">
        <v>74</v>
      </c>
      <c r="S353" t="s">
        <v>74</v>
      </c>
      <c r="T353" t="s">
        <v>74</v>
      </c>
      <c r="U353" t="s">
        <v>74</v>
      </c>
      <c r="V353" t="s">
        <v>74</v>
      </c>
      <c r="W353" t="s">
        <v>4873</v>
      </c>
      <c r="X353" t="s">
        <v>4874</v>
      </c>
      <c r="Y353" t="s">
        <v>4875</v>
      </c>
      <c r="Z353" t="s">
        <v>74</v>
      </c>
      <c r="AA353" t="s">
        <v>4876</v>
      </c>
      <c r="AB353" t="s">
        <v>4877</v>
      </c>
      <c r="AC353" t="s">
        <v>74</v>
      </c>
      <c r="AD353" t="s">
        <v>74</v>
      </c>
      <c r="AE353" t="s">
        <v>74</v>
      </c>
      <c r="AF353" t="s">
        <v>74</v>
      </c>
      <c r="AG353">
        <v>1</v>
      </c>
      <c r="AH353">
        <v>0</v>
      </c>
      <c r="AI353">
        <v>0</v>
      </c>
      <c r="AJ353">
        <v>0</v>
      </c>
      <c r="AK353">
        <v>1</v>
      </c>
      <c r="AL353" t="s">
        <v>553</v>
      </c>
      <c r="AM353" t="s">
        <v>554</v>
      </c>
      <c r="AN353" t="s">
        <v>555</v>
      </c>
      <c r="AO353" t="s">
        <v>1379</v>
      </c>
      <c r="AP353" t="s">
        <v>74</v>
      </c>
      <c r="AQ353" t="s">
        <v>74</v>
      </c>
      <c r="AR353" t="s">
        <v>1380</v>
      </c>
      <c r="AS353" t="s">
        <v>1381</v>
      </c>
      <c r="AT353" t="s">
        <v>4100</v>
      </c>
      <c r="AU353">
        <v>1999</v>
      </c>
      <c r="AV353">
        <v>22</v>
      </c>
      <c r="AW353">
        <v>2</v>
      </c>
      <c r="AX353" t="s">
        <v>74</v>
      </c>
      <c r="AY353" t="s">
        <v>74</v>
      </c>
      <c r="AZ353" t="s">
        <v>74</v>
      </c>
      <c r="BA353" t="s">
        <v>74</v>
      </c>
      <c r="BB353">
        <v>144</v>
      </c>
      <c r="BC353">
        <v>144</v>
      </c>
      <c r="BD353" t="s">
        <v>74</v>
      </c>
      <c r="BE353" t="s">
        <v>74</v>
      </c>
      <c r="BF353" t="s">
        <v>74</v>
      </c>
      <c r="BG353" t="s">
        <v>74</v>
      </c>
      <c r="BH353" t="s">
        <v>74</v>
      </c>
      <c r="BI353">
        <v>1</v>
      </c>
      <c r="BJ353" t="s">
        <v>1383</v>
      </c>
      <c r="BK353" t="s">
        <v>96</v>
      </c>
      <c r="BL353" t="s">
        <v>1384</v>
      </c>
      <c r="BM353" t="s">
        <v>4821</v>
      </c>
      <c r="BN353" t="s">
        <v>74</v>
      </c>
      <c r="BO353" t="s">
        <v>74</v>
      </c>
      <c r="BP353" t="s">
        <v>74</v>
      </c>
      <c r="BQ353" t="s">
        <v>74</v>
      </c>
      <c r="BR353" t="s">
        <v>99</v>
      </c>
      <c r="BS353" t="s">
        <v>4878</v>
      </c>
      <c r="BT353" t="str">
        <f>HYPERLINK("https%3A%2F%2Fwww.webofscience.com%2Fwos%2Fwoscc%2Ffull-record%2FWOS:000081850300012","View Full Record in Web of Science")</f>
        <v>View Full Record in Web of Science</v>
      </c>
    </row>
    <row r="354" spans="1:72" x14ac:dyDescent="0.15">
      <c r="A354" t="s">
        <v>72</v>
      </c>
      <c r="B354" t="s">
        <v>4879</v>
      </c>
      <c r="C354" t="s">
        <v>74</v>
      </c>
      <c r="D354" t="s">
        <v>74</v>
      </c>
      <c r="E354" t="s">
        <v>74</v>
      </c>
      <c r="F354" t="s">
        <v>4879</v>
      </c>
      <c r="G354" t="s">
        <v>74</v>
      </c>
      <c r="H354" t="s">
        <v>74</v>
      </c>
      <c r="I354" t="s">
        <v>4880</v>
      </c>
      <c r="J354" t="s">
        <v>4881</v>
      </c>
      <c r="K354" t="s">
        <v>74</v>
      </c>
      <c r="L354" t="s">
        <v>74</v>
      </c>
      <c r="M354" t="s">
        <v>77</v>
      </c>
      <c r="N354" t="s">
        <v>254</v>
      </c>
      <c r="O354" t="s">
        <v>74</v>
      </c>
      <c r="P354" t="s">
        <v>74</v>
      </c>
      <c r="Q354" t="s">
        <v>74</v>
      </c>
      <c r="R354" t="s">
        <v>74</v>
      </c>
      <c r="S354" t="s">
        <v>74</v>
      </c>
      <c r="T354" t="s">
        <v>74</v>
      </c>
      <c r="U354" t="s">
        <v>4882</v>
      </c>
      <c r="V354" t="s">
        <v>4883</v>
      </c>
      <c r="W354" t="s">
        <v>4884</v>
      </c>
      <c r="X354" t="s">
        <v>3626</v>
      </c>
      <c r="Y354" t="s">
        <v>4885</v>
      </c>
      <c r="Z354" t="s">
        <v>74</v>
      </c>
      <c r="AA354" t="s">
        <v>74</v>
      </c>
      <c r="AB354" t="s">
        <v>74</v>
      </c>
      <c r="AC354" t="s">
        <v>74</v>
      </c>
      <c r="AD354" t="s">
        <v>74</v>
      </c>
      <c r="AE354" t="s">
        <v>74</v>
      </c>
      <c r="AF354" t="s">
        <v>74</v>
      </c>
      <c r="AG354">
        <v>416</v>
      </c>
      <c r="AH354">
        <v>1356</v>
      </c>
      <c r="AI354">
        <v>1500</v>
      </c>
      <c r="AJ354">
        <v>15</v>
      </c>
      <c r="AK354">
        <v>569</v>
      </c>
      <c r="AL354" t="s">
        <v>230</v>
      </c>
      <c r="AM354" t="s">
        <v>231</v>
      </c>
      <c r="AN354" t="s">
        <v>232</v>
      </c>
      <c r="AO354" t="s">
        <v>4886</v>
      </c>
      <c r="AP354" t="s">
        <v>74</v>
      </c>
      <c r="AQ354" t="s">
        <v>74</v>
      </c>
      <c r="AR354" t="s">
        <v>4887</v>
      </c>
      <c r="AS354" t="s">
        <v>4888</v>
      </c>
      <c r="AT354" t="s">
        <v>4100</v>
      </c>
      <c r="AU354">
        <v>1999</v>
      </c>
      <c r="AV354">
        <v>37</v>
      </c>
      <c r="AW354">
        <v>3</v>
      </c>
      <c r="AX354" t="s">
        <v>74</v>
      </c>
      <c r="AY354" t="s">
        <v>74</v>
      </c>
      <c r="AZ354" t="s">
        <v>74</v>
      </c>
      <c r="BA354" t="s">
        <v>74</v>
      </c>
      <c r="BB354">
        <v>275</v>
      </c>
      <c r="BC354">
        <v>316</v>
      </c>
      <c r="BD354" t="s">
        <v>74</v>
      </c>
      <c r="BE354" t="s">
        <v>4889</v>
      </c>
      <c r="BF354" t="str">
        <f>HYPERLINK("http://dx.doi.org/10.1029/1999RG900008","http://dx.doi.org/10.1029/1999RG900008")</f>
        <v>http://dx.doi.org/10.1029/1999RG900008</v>
      </c>
      <c r="BG354" t="s">
        <v>74</v>
      </c>
      <c r="BH354" t="s">
        <v>74</v>
      </c>
      <c r="BI354">
        <v>42</v>
      </c>
      <c r="BJ354" t="s">
        <v>216</v>
      </c>
      <c r="BK354" t="s">
        <v>96</v>
      </c>
      <c r="BL354" t="s">
        <v>216</v>
      </c>
      <c r="BM354" t="s">
        <v>4890</v>
      </c>
      <c r="BN354" t="s">
        <v>74</v>
      </c>
      <c r="BO354" t="s">
        <v>1214</v>
      </c>
      <c r="BP354" t="s">
        <v>74</v>
      </c>
      <c r="BQ354" t="s">
        <v>74</v>
      </c>
      <c r="BR354" t="s">
        <v>99</v>
      </c>
      <c r="BS354" t="s">
        <v>4891</v>
      </c>
      <c r="BT354" t="str">
        <f>HYPERLINK("https%3A%2F%2Fwww.webofscience.com%2Fwos%2Fwoscc%2Ffull-record%2FWOS:000081930700001","View Full Record in Web of Science")</f>
        <v>View Full Record in Web of Science</v>
      </c>
    </row>
    <row r="355" spans="1:72" x14ac:dyDescent="0.15">
      <c r="A355" t="s">
        <v>72</v>
      </c>
      <c r="B355" t="s">
        <v>4892</v>
      </c>
      <c r="C355" t="s">
        <v>74</v>
      </c>
      <c r="D355" t="s">
        <v>74</v>
      </c>
      <c r="E355" t="s">
        <v>74</v>
      </c>
      <c r="F355" t="s">
        <v>4892</v>
      </c>
      <c r="G355" t="s">
        <v>74</v>
      </c>
      <c r="H355" t="s">
        <v>74</v>
      </c>
      <c r="I355" t="s">
        <v>4893</v>
      </c>
      <c r="J355" t="s">
        <v>4881</v>
      </c>
      <c r="K355" t="s">
        <v>74</v>
      </c>
      <c r="L355" t="s">
        <v>74</v>
      </c>
      <c r="M355" t="s">
        <v>77</v>
      </c>
      <c r="N355" t="s">
        <v>254</v>
      </c>
      <c r="O355" t="s">
        <v>74</v>
      </c>
      <c r="P355" t="s">
        <v>74</v>
      </c>
      <c r="Q355" t="s">
        <v>74</v>
      </c>
      <c r="R355" t="s">
        <v>74</v>
      </c>
      <c r="S355" t="s">
        <v>74</v>
      </c>
      <c r="T355" t="s">
        <v>74</v>
      </c>
      <c r="U355" t="s">
        <v>4894</v>
      </c>
      <c r="V355" t="s">
        <v>4895</v>
      </c>
      <c r="W355" t="s">
        <v>4896</v>
      </c>
      <c r="X355" t="s">
        <v>131</v>
      </c>
      <c r="Y355" t="s">
        <v>4897</v>
      </c>
      <c r="Z355" t="s">
        <v>74</v>
      </c>
      <c r="AA355" t="s">
        <v>945</v>
      </c>
      <c r="AB355" t="s">
        <v>946</v>
      </c>
      <c r="AC355" t="s">
        <v>74</v>
      </c>
      <c r="AD355" t="s">
        <v>74</v>
      </c>
      <c r="AE355" t="s">
        <v>74</v>
      </c>
      <c r="AF355" t="s">
        <v>74</v>
      </c>
      <c r="AG355">
        <v>120</v>
      </c>
      <c r="AH355">
        <v>132</v>
      </c>
      <c r="AI355">
        <v>136</v>
      </c>
      <c r="AJ355">
        <v>0</v>
      </c>
      <c r="AK355">
        <v>11</v>
      </c>
      <c r="AL355" t="s">
        <v>230</v>
      </c>
      <c r="AM355" t="s">
        <v>231</v>
      </c>
      <c r="AN355" t="s">
        <v>232</v>
      </c>
      <c r="AO355" t="s">
        <v>4886</v>
      </c>
      <c r="AP355" t="s">
        <v>74</v>
      </c>
      <c r="AQ355" t="s">
        <v>74</v>
      </c>
      <c r="AR355" t="s">
        <v>4887</v>
      </c>
      <c r="AS355" t="s">
        <v>4888</v>
      </c>
      <c r="AT355" t="s">
        <v>4100</v>
      </c>
      <c r="AU355">
        <v>1999</v>
      </c>
      <c r="AV355">
        <v>37</v>
      </c>
      <c r="AW355">
        <v>3</v>
      </c>
      <c r="AX355" t="s">
        <v>74</v>
      </c>
      <c r="AY355" t="s">
        <v>74</v>
      </c>
      <c r="AZ355" t="s">
        <v>74</v>
      </c>
      <c r="BA355" t="s">
        <v>74</v>
      </c>
      <c r="BB355">
        <v>317</v>
      </c>
      <c r="BC355">
        <v>336</v>
      </c>
      <c r="BD355" t="s">
        <v>74</v>
      </c>
      <c r="BE355" t="s">
        <v>4898</v>
      </c>
      <c r="BF355" t="str">
        <f>HYPERLINK("http://dx.doi.org/10.1029/1999RG900006","http://dx.doi.org/10.1029/1999RG900006")</f>
        <v>http://dx.doi.org/10.1029/1999RG900006</v>
      </c>
      <c r="BG355" t="s">
        <v>74</v>
      </c>
      <c r="BH355" t="s">
        <v>74</v>
      </c>
      <c r="BI355">
        <v>20</v>
      </c>
      <c r="BJ355" t="s">
        <v>216</v>
      </c>
      <c r="BK355" t="s">
        <v>96</v>
      </c>
      <c r="BL355" t="s">
        <v>216</v>
      </c>
      <c r="BM355" t="s">
        <v>4890</v>
      </c>
      <c r="BN355" t="s">
        <v>74</v>
      </c>
      <c r="BO355" t="s">
        <v>250</v>
      </c>
      <c r="BP355" t="s">
        <v>74</v>
      </c>
      <c r="BQ355" t="s">
        <v>74</v>
      </c>
      <c r="BR355" t="s">
        <v>99</v>
      </c>
      <c r="BS355" t="s">
        <v>4899</v>
      </c>
      <c r="BT355" t="str">
        <f>HYPERLINK("https%3A%2F%2Fwww.webofscience.com%2Fwos%2Fwoscc%2Ffull-record%2FWOS:000081930700002","View Full Record in Web of Science")</f>
        <v>View Full Record in Web of Science</v>
      </c>
    </row>
    <row r="356" spans="1:72" x14ac:dyDescent="0.15">
      <c r="A356" t="s">
        <v>72</v>
      </c>
      <c r="B356" t="s">
        <v>4900</v>
      </c>
      <c r="C356" t="s">
        <v>74</v>
      </c>
      <c r="D356" t="s">
        <v>74</v>
      </c>
      <c r="E356" t="s">
        <v>74</v>
      </c>
      <c r="F356" t="s">
        <v>4900</v>
      </c>
      <c r="G356" t="s">
        <v>74</v>
      </c>
      <c r="H356" t="s">
        <v>74</v>
      </c>
      <c r="I356" t="s">
        <v>4901</v>
      </c>
      <c r="J356" t="s">
        <v>4881</v>
      </c>
      <c r="K356" t="s">
        <v>74</v>
      </c>
      <c r="L356" t="s">
        <v>74</v>
      </c>
      <c r="M356" t="s">
        <v>77</v>
      </c>
      <c r="N356" t="s">
        <v>254</v>
      </c>
      <c r="O356" t="s">
        <v>74</v>
      </c>
      <c r="P356" t="s">
        <v>74</v>
      </c>
      <c r="Q356" t="s">
        <v>74</v>
      </c>
      <c r="R356" t="s">
        <v>74</v>
      </c>
      <c r="S356" t="s">
        <v>74</v>
      </c>
      <c r="T356" t="s">
        <v>74</v>
      </c>
      <c r="U356" t="s">
        <v>4902</v>
      </c>
      <c r="V356" t="s">
        <v>4903</v>
      </c>
      <c r="W356" t="s">
        <v>4904</v>
      </c>
      <c r="X356" t="s">
        <v>4905</v>
      </c>
      <c r="Y356" t="s">
        <v>4906</v>
      </c>
      <c r="Z356" t="s">
        <v>74</v>
      </c>
      <c r="AA356" t="s">
        <v>74</v>
      </c>
      <c r="AB356" t="s">
        <v>4907</v>
      </c>
      <c r="AC356" t="s">
        <v>74</v>
      </c>
      <c r="AD356" t="s">
        <v>74</v>
      </c>
      <c r="AE356" t="s">
        <v>74</v>
      </c>
      <c r="AF356" t="s">
        <v>74</v>
      </c>
      <c r="AG356">
        <v>75</v>
      </c>
      <c r="AH356">
        <v>174</v>
      </c>
      <c r="AI356">
        <v>192</v>
      </c>
      <c r="AJ356">
        <v>1</v>
      </c>
      <c r="AK356">
        <v>31</v>
      </c>
      <c r="AL356" t="s">
        <v>230</v>
      </c>
      <c r="AM356" t="s">
        <v>231</v>
      </c>
      <c r="AN356" t="s">
        <v>232</v>
      </c>
      <c r="AO356" t="s">
        <v>4886</v>
      </c>
      <c r="AP356" t="s">
        <v>4908</v>
      </c>
      <c r="AQ356" t="s">
        <v>74</v>
      </c>
      <c r="AR356" t="s">
        <v>4887</v>
      </c>
      <c r="AS356" t="s">
        <v>4888</v>
      </c>
      <c r="AT356" t="s">
        <v>4100</v>
      </c>
      <c r="AU356">
        <v>1999</v>
      </c>
      <c r="AV356">
        <v>37</v>
      </c>
      <c r="AW356">
        <v>3</v>
      </c>
      <c r="AX356" t="s">
        <v>74</v>
      </c>
      <c r="AY356" t="s">
        <v>74</v>
      </c>
      <c r="AZ356" t="s">
        <v>74</v>
      </c>
      <c r="BA356" t="s">
        <v>74</v>
      </c>
      <c r="BB356">
        <v>337</v>
      </c>
      <c r="BC356">
        <v>359</v>
      </c>
      <c r="BD356" t="s">
        <v>74</v>
      </c>
      <c r="BE356" t="s">
        <v>4909</v>
      </c>
      <c r="BF356" t="str">
        <f>HYPERLINK("http://dx.doi.org/10.1029/1999RG900007","http://dx.doi.org/10.1029/1999RG900007")</f>
        <v>http://dx.doi.org/10.1029/1999RG900007</v>
      </c>
      <c r="BG356" t="s">
        <v>74</v>
      </c>
      <c r="BH356" t="s">
        <v>74</v>
      </c>
      <c r="BI356">
        <v>23</v>
      </c>
      <c r="BJ356" t="s">
        <v>216</v>
      </c>
      <c r="BK356" t="s">
        <v>96</v>
      </c>
      <c r="BL356" t="s">
        <v>216</v>
      </c>
      <c r="BM356" t="s">
        <v>4890</v>
      </c>
      <c r="BN356" t="s">
        <v>74</v>
      </c>
      <c r="BO356" t="s">
        <v>250</v>
      </c>
      <c r="BP356" t="s">
        <v>74</v>
      </c>
      <c r="BQ356" t="s">
        <v>74</v>
      </c>
      <c r="BR356" t="s">
        <v>99</v>
      </c>
      <c r="BS356" t="s">
        <v>4910</v>
      </c>
      <c r="BT356" t="str">
        <f>HYPERLINK("https%3A%2F%2Fwww.webofscience.com%2Fwos%2Fwoscc%2Ffull-record%2FWOS:000081930700003","View Full Record in Web of Science")</f>
        <v>View Full Record in Web of Science</v>
      </c>
    </row>
    <row r="357" spans="1:72" x14ac:dyDescent="0.15">
      <c r="A357" t="s">
        <v>72</v>
      </c>
      <c r="B357" t="s">
        <v>4911</v>
      </c>
      <c r="C357" t="s">
        <v>74</v>
      </c>
      <c r="D357" t="s">
        <v>74</v>
      </c>
      <c r="E357" t="s">
        <v>74</v>
      </c>
      <c r="F357" t="s">
        <v>4911</v>
      </c>
      <c r="G357" t="s">
        <v>74</v>
      </c>
      <c r="H357" t="s">
        <v>74</v>
      </c>
      <c r="I357" t="s">
        <v>4912</v>
      </c>
      <c r="J357" t="s">
        <v>4913</v>
      </c>
      <c r="K357" t="s">
        <v>74</v>
      </c>
      <c r="L357" t="s">
        <v>74</v>
      </c>
      <c r="M357" t="s">
        <v>77</v>
      </c>
      <c r="N357" t="s">
        <v>78</v>
      </c>
      <c r="O357" t="s">
        <v>74</v>
      </c>
      <c r="P357" t="s">
        <v>74</v>
      </c>
      <c r="Q357" t="s">
        <v>74</v>
      </c>
      <c r="R357" t="s">
        <v>74</v>
      </c>
      <c r="S357" t="s">
        <v>74</v>
      </c>
      <c r="T357" t="s">
        <v>74</v>
      </c>
      <c r="U357" t="s">
        <v>4914</v>
      </c>
      <c r="V357" t="s">
        <v>4915</v>
      </c>
      <c r="W357" t="s">
        <v>4916</v>
      </c>
      <c r="X357" t="s">
        <v>4917</v>
      </c>
      <c r="Y357" t="s">
        <v>4918</v>
      </c>
      <c r="Z357" t="s">
        <v>4919</v>
      </c>
      <c r="AA357" t="s">
        <v>74</v>
      </c>
      <c r="AB357" t="s">
        <v>4920</v>
      </c>
      <c r="AC357" t="s">
        <v>74</v>
      </c>
      <c r="AD357" t="s">
        <v>74</v>
      </c>
      <c r="AE357" t="s">
        <v>74</v>
      </c>
      <c r="AF357" t="s">
        <v>74</v>
      </c>
      <c r="AG357">
        <v>12</v>
      </c>
      <c r="AH357">
        <v>17</v>
      </c>
      <c r="AI357">
        <v>19</v>
      </c>
      <c r="AJ357">
        <v>0</v>
      </c>
      <c r="AK357">
        <v>1</v>
      </c>
      <c r="AL357" t="s">
        <v>3435</v>
      </c>
      <c r="AM357" t="s">
        <v>4921</v>
      </c>
      <c r="AN357" t="s">
        <v>4922</v>
      </c>
      <c r="AO357" t="s">
        <v>4923</v>
      </c>
      <c r="AP357" t="s">
        <v>74</v>
      </c>
      <c r="AQ357" t="s">
        <v>74</v>
      </c>
      <c r="AR357" t="s">
        <v>4924</v>
      </c>
      <c r="AS357" t="s">
        <v>4925</v>
      </c>
      <c r="AT357" t="s">
        <v>4100</v>
      </c>
      <c r="AU357">
        <v>1999</v>
      </c>
      <c r="AV357">
        <v>51</v>
      </c>
      <c r="AW357">
        <v>4</v>
      </c>
      <c r="AX357" t="s">
        <v>74</v>
      </c>
      <c r="AY357" t="s">
        <v>74</v>
      </c>
      <c r="AZ357" t="s">
        <v>74</v>
      </c>
      <c r="BA357" t="s">
        <v>74</v>
      </c>
      <c r="BB357">
        <v>517</v>
      </c>
      <c r="BC357">
        <v>525</v>
      </c>
      <c r="BD357" t="s">
        <v>74</v>
      </c>
      <c r="BE357" t="s">
        <v>4926</v>
      </c>
      <c r="BF357" t="str">
        <f>HYPERLINK("http://dx.doi.org/10.1034/j.1600-0870.1999.t01-4-00005.x","http://dx.doi.org/10.1034/j.1600-0870.1999.t01-4-00005.x")</f>
        <v>http://dx.doi.org/10.1034/j.1600-0870.1999.t01-4-00005.x</v>
      </c>
      <c r="BG357" t="s">
        <v>74</v>
      </c>
      <c r="BH357" t="s">
        <v>74</v>
      </c>
      <c r="BI357">
        <v>9</v>
      </c>
      <c r="BJ357" t="s">
        <v>1022</v>
      </c>
      <c r="BK357" t="s">
        <v>96</v>
      </c>
      <c r="BL357" t="s">
        <v>1022</v>
      </c>
      <c r="BM357" t="s">
        <v>4927</v>
      </c>
      <c r="BN357" t="s">
        <v>74</v>
      </c>
      <c r="BO357" t="s">
        <v>610</v>
      </c>
      <c r="BP357" t="s">
        <v>74</v>
      </c>
      <c r="BQ357" t="s">
        <v>74</v>
      </c>
      <c r="BR357" t="s">
        <v>99</v>
      </c>
      <c r="BS357" t="s">
        <v>4928</v>
      </c>
      <c r="BT357" t="str">
        <f>HYPERLINK("https%3A%2F%2Fwww.webofscience.com%2Fwos%2Fwoscc%2Ffull-record%2FWOS:000082207700005","View Full Record in Web of Science")</f>
        <v>View Full Record in Web of Science</v>
      </c>
    </row>
    <row r="358" spans="1:72" x14ac:dyDescent="0.15">
      <c r="A358" t="s">
        <v>72</v>
      </c>
      <c r="B358" t="s">
        <v>4929</v>
      </c>
      <c r="C358" t="s">
        <v>74</v>
      </c>
      <c r="D358" t="s">
        <v>74</v>
      </c>
      <c r="E358" t="s">
        <v>74</v>
      </c>
      <c r="F358" t="s">
        <v>4929</v>
      </c>
      <c r="G358" t="s">
        <v>74</v>
      </c>
      <c r="H358" t="s">
        <v>74</v>
      </c>
      <c r="I358" t="s">
        <v>4930</v>
      </c>
      <c r="J358" t="s">
        <v>4931</v>
      </c>
      <c r="K358" t="s">
        <v>74</v>
      </c>
      <c r="L358" t="s">
        <v>74</v>
      </c>
      <c r="M358" t="s">
        <v>77</v>
      </c>
      <c r="N358" t="s">
        <v>78</v>
      </c>
      <c r="O358" t="s">
        <v>74</v>
      </c>
      <c r="P358" t="s">
        <v>74</v>
      </c>
      <c r="Q358" t="s">
        <v>74</v>
      </c>
      <c r="R358" t="s">
        <v>74</v>
      </c>
      <c r="S358" t="s">
        <v>74</v>
      </c>
      <c r="T358" t="s">
        <v>74</v>
      </c>
      <c r="U358" t="s">
        <v>4932</v>
      </c>
      <c r="V358" t="s">
        <v>4933</v>
      </c>
      <c r="W358" t="s">
        <v>151</v>
      </c>
      <c r="X358" t="s">
        <v>131</v>
      </c>
      <c r="Y358" t="s">
        <v>4934</v>
      </c>
      <c r="Z358" t="s">
        <v>74</v>
      </c>
      <c r="AA358" t="s">
        <v>74</v>
      </c>
      <c r="AB358" t="s">
        <v>74</v>
      </c>
      <c r="AC358" t="s">
        <v>74</v>
      </c>
      <c r="AD358" t="s">
        <v>74</v>
      </c>
      <c r="AE358" t="s">
        <v>74</v>
      </c>
      <c r="AF358" t="s">
        <v>74</v>
      </c>
      <c r="AG358">
        <v>32</v>
      </c>
      <c r="AH358">
        <v>18</v>
      </c>
      <c r="AI358">
        <v>18</v>
      </c>
      <c r="AJ358">
        <v>0</v>
      </c>
      <c r="AK358">
        <v>2</v>
      </c>
      <c r="AL358" t="s">
        <v>863</v>
      </c>
      <c r="AM358" t="s">
        <v>276</v>
      </c>
      <c r="AN358" t="s">
        <v>864</v>
      </c>
      <c r="AO358" t="s">
        <v>4935</v>
      </c>
      <c r="AP358" t="s">
        <v>74</v>
      </c>
      <c r="AQ358" t="s">
        <v>74</v>
      </c>
      <c r="AR358" t="s">
        <v>4931</v>
      </c>
      <c r="AS358" t="s">
        <v>4936</v>
      </c>
      <c r="AT358" t="s">
        <v>4100</v>
      </c>
      <c r="AU358">
        <v>1999</v>
      </c>
      <c r="AV358">
        <v>11</v>
      </c>
      <c r="AW358">
        <v>4</v>
      </c>
      <c r="AX358" t="s">
        <v>74</v>
      </c>
      <c r="AY358" t="s">
        <v>74</v>
      </c>
      <c r="AZ358" t="s">
        <v>74</v>
      </c>
      <c r="BA358" t="s">
        <v>74</v>
      </c>
      <c r="BB358">
        <v>186</v>
      </c>
      <c r="BC358">
        <v>193</v>
      </c>
      <c r="BD358" t="s">
        <v>74</v>
      </c>
      <c r="BE358" t="s">
        <v>74</v>
      </c>
      <c r="BF358" t="s">
        <v>74</v>
      </c>
      <c r="BG358" t="s">
        <v>74</v>
      </c>
      <c r="BH358" t="s">
        <v>74</v>
      </c>
      <c r="BI358">
        <v>8</v>
      </c>
      <c r="BJ358" t="s">
        <v>387</v>
      </c>
      <c r="BK358" t="s">
        <v>96</v>
      </c>
      <c r="BL358" t="s">
        <v>388</v>
      </c>
      <c r="BM358" t="s">
        <v>4937</v>
      </c>
      <c r="BN358" t="s">
        <v>74</v>
      </c>
      <c r="BO358" t="s">
        <v>74</v>
      </c>
      <c r="BP358" t="s">
        <v>74</v>
      </c>
      <c r="BQ358" t="s">
        <v>74</v>
      </c>
      <c r="BR358" t="s">
        <v>99</v>
      </c>
      <c r="BS358" t="s">
        <v>4938</v>
      </c>
      <c r="BT358" t="str">
        <f>HYPERLINK("https%3A%2F%2Fwww.webofscience.com%2Fwos%2Fwoscc%2Ffull-record%2FWOS:000084989300009","View Full Record in Web of Science")</f>
        <v>View Full Record in Web of Science</v>
      </c>
    </row>
    <row r="359" spans="1:72" x14ac:dyDescent="0.15">
      <c r="A359" t="s">
        <v>72</v>
      </c>
      <c r="B359" t="s">
        <v>4939</v>
      </c>
      <c r="C359" t="s">
        <v>74</v>
      </c>
      <c r="D359" t="s">
        <v>74</v>
      </c>
      <c r="E359" t="s">
        <v>74</v>
      </c>
      <c r="F359" t="s">
        <v>4939</v>
      </c>
      <c r="G359" t="s">
        <v>74</v>
      </c>
      <c r="H359" t="s">
        <v>74</v>
      </c>
      <c r="I359" t="s">
        <v>4940</v>
      </c>
      <c r="J359" t="s">
        <v>2692</v>
      </c>
      <c r="K359" t="s">
        <v>74</v>
      </c>
      <c r="L359" t="s">
        <v>74</v>
      </c>
      <c r="M359" t="s">
        <v>77</v>
      </c>
      <c r="N359" t="s">
        <v>78</v>
      </c>
      <c r="O359" t="s">
        <v>74</v>
      </c>
      <c r="P359" t="s">
        <v>74</v>
      </c>
      <c r="Q359" t="s">
        <v>74</v>
      </c>
      <c r="R359" t="s">
        <v>74</v>
      </c>
      <c r="S359" t="s">
        <v>74</v>
      </c>
      <c r="T359" t="s">
        <v>74</v>
      </c>
      <c r="U359" t="s">
        <v>4941</v>
      </c>
      <c r="V359" t="s">
        <v>4942</v>
      </c>
      <c r="W359" t="s">
        <v>4943</v>
      </c>
      <c r="X359" t="s">
        <v>4944</v>
      </c>
      <c r="Y359" t="s">
        <v>4945</v>
      </c>
      <c r="Z359" t="s">
        <v>4946</v>
      </c>
      <c r="AA359" t="s">
        <v>4947</v>
      </c>
      <c r="AB359" t="s">
        <v>4948</v>
      </c>
      <c r="AC359" t="s">
        <v>74</v>
      </c>
      <c r="AD359" t="s">
        <v>74</v>
      </c>
      <c r="AE359" t="s">
        <v>74</v>
      </c>
      <c r="AF359" t="s">
        <v>74</v>
      </c>
      <c r="AG359">
        <v>31</v>
      </c>
      <c r="AH359">
        <v>223</v>
      </c>
      <c r="AI359">
        <v>233</v>
      </c>
      <c r="AJ359">
        <v>0</v>
      </c>
      <c r="AK359">
        <v>30</v>
      </c>
      <c r="AL359" t="s">
        <v>4949</v>
      </c>
      <c r="AM359" t="s">
        <v>2206</v>
      </c>
      <c r="AN359" t="s">
        <v>4950</v>
      </c>
      <c r="AO359" t="s">
        <v>2695</v>
      </c>
      <c r="AP359" t="s">
        <v>4951</v>
      </c>
      <c r="AQ359" t="s">
        <v>74</v>
      </c>
      <c r="AR359" t="s">
        <v>2692</v>
      </c>
      <c r="AS359" t="s">
        <v>2696</v>
      </c>
      <c r="AT359" t="s">
        <v>4952</v>
      </c>
      <c r="AU359">
        <v>1999</v>
      </c>
      <c r="AV359">
        <v>400</v>
      </c>
      <c r="AW359">
        <v>6743</v>
      </c>
      <c r="AX359" t="s">
        <v>74</v>
      </c>
      <c r="AY359" t="s">
        <v>74</v>
      </c>
      <c r="AZ359" t="s">
        <v>74</v>
      </c>
      <c r="BA359" t="s">
        <v>74</v>
      </c>
      <c r="BB359">
        <v>440</v>
      </c>
      <c r="BC359">
        <v>443</v>
      </c>
      <c r="BD359" t="s">
        <v>74</v>
      </c>
      <c r="BE359" t="s">
        <v>4953</v>
      </c>
      <c r="BF359" t="str">
        <f>HYPERLINK("http://dx.doi.org/10.1038/22733","http://dx.doi.org/10.1038/22733")</f>
        <v>http://dx.doi.org/10.1038/22733</v>
      </c>
      <c r="BG359" t="s">
        <v>74</v>
      </c>
      <c r="BH359" t="s">
        <v>74</v>
      </c>
      <c r="BI359">
        <v>4</v>
      </c>
      <c r="BJ359" t="s">
        <v>303</v>
      </c>
      <c r="BK359" t="s">
        <v>96</v>
      </c>
      <c r="BL359" t="s">
        <v>304</v>
      </c>
      <c r="BM359" t="s">
        <v>4954</v>
      </c>
      <c r="BN359" t="s">
        <v>74</v>
      </c>
      <c r="BO359" t="s">
        <v>74</v>
      </c>
      <c r="BP359" t="s">
        <v>74</v>
      </c>
      <c r="BQ359" t="s">
        <v>74</v>
      </c>
      <c r="BR359" t="s">
        <v>99</v>
      </c>
      <c r="BS359" t="s">
        <v>4955</v>
      </c>
      <c r="BT359" t="str">
        <f>HYPERLINK("https%3A%2F%2Fwww.webofscience.com%2Fwos%2Fwoscc%2Ffull-record%2FWOS:000081715000047","View Full Record in Web of Science")</f>
        <v>View Full Record in Web of Science</v>
      </c>
    </row>
    <row r="360" spans="1:72" x14ac:dyDescent="0.15">
      <c r="A360" t="s">
        <v>72</v>
      </c>
      <c r="B360" t="s">
        <v>4956</v>
      </c>
      <c r="C360" t="s">
        <v>74</v>
      </c>
      <c r="D360" t="s">
        <v>74</v>
      </c>
      <c r="E360" t="s">
        <v>74</v>
      </c>
      <c r="F360" t="s">
        <v>4956</v>
      </c>
      <c r="G360" t="s">
        <v>74</v>
      </c>
      <c r="H360" t="s">
        <v>74</v>
      </c>
      <c r="I360" t="s">
        <v>4957</v>
      </c>
      <c r="J360" t="s">
        <v>221</v>
      </c>
      <c r="K360" t="s">
        <v>74</v>
      </c>
      <c r="L360" t="s">
        <v>74</v>
      </c>
      <c r="M360" t="s">
        <v>77</v>
      </c>
      <c r="N360" t="s">
        <v>78</v>
      </c>
      <c r="O360" t="s">
        <v>74</v>
      </c>
      <c r="P360" t="s">
        <v>74</v>
      </c>
      <c r="Q360" t="s">
        <v>74</v>
      </c>
      <c r="R360" t="s">
        <v>74</v>
      </c>
      <c r="S360" t="s">
        <v>74</v>
      </c>
      <c r="T360" t="s">
        <v>74</v>
      </c>
      <c r="U360" t="s">
        <v>4958</v>
      </c>
      <c r="V360" t="s">
        <v>4959</v>
      </c>
      <c r="W360" t="s">
        <v>4960</v>
      </c>
      <c r="X360" t="s">
        <v>4961</v>
      </c>
      <c r="Y360" t="s">
        <v>4962</v>
      </c>
      <c r="Z360" t="s">
        <v>4963</v>
      </c>
      <c r="AA360" t="s">
        <v>74</v>
      </c>
      <c r="AB360" t="s">
        <v>74</v>
      </c>
      <c r="AC360" t="s">
        <v>74</v>
      </c>
      <c r="AD360" t="s">
        <v>74</v>
      </c>
      <c r="AE360" t="s">
        <v>74</v>
      </c>
      <c r="AF360" t="s">
        <v>74</v>
      </c>
      <c r="AG360">
        <v>52</v>
      </c>
      <c r="AH360">
        <v>41</v>
      </c>
      <c r="AI360">
        <v>44</v>
      </c>
      <c r="AJ360">
        <v>1</v>
      </c>
      <c r="AK360">
        <v>13</v>
      </c>
      <c r="AL360" t="s">
        <v>230</v>
      </c>
      <c r="AM360" t="s">
        <v>231</v>
      </c>
      <c r="AN360" t="s">
        <v>232</v>
      </c>
      <c r="AO360" t="s">
        <v>233</v>
      </c>
      <c r="AP360" t="s">
        <v>317</v>
      </c>
      <c r="AQ360" t="s">
        <v>74</v>
      </c>
      <c r="AR360" t="s">
        <v>234</v>
      </c>
      <c r="AS360" t="s">
        <v>235</v>
      </c>
      <c r="AT360" t="s">
        <v>4964</v>
      </c>
      <c r="AU360">
        <v>1999</v>
      </c>
      <c r="AV360">
        <v>104</v>
      </c>
      <c r="AW360" t="s">
        <v>4965</v>
      </c>
      <c r="AX360" t="s">
        <v>74</v>
      </c>
      <c r="AY360" t="s">
        <v>74</v>
      </c>
      <c r="AZ360" t="s">
        <v>74</v>
      </c>
      <c r="BA360" t="s">
        <v>74</v>
      </c>
      <c r="BB360">
        <v>16657</v>
      </c>
      <c r="BC360">
        <v>16672</v>
      </c>
      <c r="BD360" t="s">
        <v>74</v>
      </c>
      <c r="BE360" t="s">
        <v>4966</v>
      </c>
      <c r="BF360" t="str">
        <f>HYPERLINK("http://dx.doi.org/10.1029/1999JD900158","http://dx.doi.org/10.1029/1999JD900158")</f>
        <v>http://dx.doi.org/10.1029/1999JD900158</v>
      </c>
      <c r="BG360" t="s">
        <v>74</v>
      </c>
      <c r="BH360" t="s">
        <v>74</v>
      </c>
      <c r="BI360">
        <v>16</v>
      </c>
      <c r="BJ360" t="s">
        <v>95</v>
      </c>
      <c r="BK360" t="s">
        <v>96</v>
      </c>
      <c r="BL360" t="s">
        <v>95</v>
      </c>
      <c r="BM360" t="s">
        <v>4967</v>
      </c>
      <c r="BN360" t="s">
        <v>74</v>
      </c>
      <c r="BO360" t="s">
        <v>250</v>
      </c>
      <c r="BP360" t="s">
        <v>74</v>
      </c>
      <c r="BQ360" t="s">
        <v>74</v>
      </c>
      <c r="BR360" t="s">
        <v>99</v>
      </c>
      <c r="BS360" t="s">
        <v>4968</v>
      </c>
      <c r="BT360" t="str">
        <f>HYPERLINK("https%3A%2F%2Fwww.webofscience.com%2Fwos%2Fwoscc%2Ffull-record%2FWOS:000081652100003","View Full Record in Web of Science")</f>
        <v>View Full Record in Web of Science</v>
      </c>
    </row>
    <row r="361" spans="1:72" x14ac:dyDescent="0.15">
      <c r="A361" t="s">
        <v>72</v>
      </c>
      <c r="B361" t="s">
        <v>4969</v>
      </c>
      <c r="C361" t="s">
        <v>74</v>
      </c>
      <c r="D361" t="s">
        <v>74</v>
      </c>
      <c r="E361" t="s">
        <v>74</v>
      </c>
      <c r="F361" t="s">
        <v>4969</v>
      </c>
      <c r="G361" t="s">
        <v>74</v>
      </c>
      <c r="H361" t="s">
        <v>74</v>
      </c>
      <c r="I361" t="s">
        <v>4970</v>
      </c>
      <c r="J361" t="s">
        <v>221</v>
      </c>
      <c r="K361" t="s">
        <v>74</v>
      </c>
      <c r="L361" t="s">
        <v>74</v>
      </c>
      <c r="M361" t="s">
        <v>77</v>
      </c>
      <c r="N361" t="s">
        <v>78</v>
      </c>
      <c r="O361" t="s">
        <v>74</v>
      </c>
      <c r="P361" t="s">
        <v>74</v>
      </c>
      <c r="Q361" t="s">
        <v>74</v>
      </c>
      <c r="R361" t="s">
        <v>74</v>
      </c>
      <c r="S361" t="s">
        <v>74</v>
      </c>
      <c r="T361" t="s">
        <v>74</v>
      </c>
      <c r="U361" t="s">
        <v>4971</v>
      </c>
      <c r="V361" t="s">
        <v>4972</v>
      </c>
      <c r="W361" t="s">
        <v>4973</v>
      </c>
      <c r="X361" t="s">
        <v>4974</v>
      </c>
      <c r="Y361" t="s">
        <v>4975</v>
      </c>
      <c r="Z361" t="s">
        <v>4976</v>
      </c>
      <c r="AA361" t="s">
        <v>74</v>
      </c>
      <c r="AB361" t="s">
        <v>74</v>
      </c>
      <c r="AC361" t="s">
        <v>74</v>
      </c>
      <c r="AD361" t="s">
        <v>74</v>
      </c>
      <c r="AE361" t="s">
        <v>74</v>
      </c>
      <c r="AF361" t="s">
        <v>74</v>
      </c>
      <c r="AG361">
        <v>68</v>
      </c>
      <c r="AH361">
        <v>24</v>
      </c>
      <c r="AI361">
        <v>25</v>
      </c>
      <c r="AJ361">
        <v>0</v>
      </c>
      <c r="AK361">
        <v>6</v>
      </c>
      <c r="AL361" t="s">
        <v>230</v>
      </c>
      <c r="AM361" t="s">
        <v>231</v>
      </c>
      <c r="AN361" t="s">
        <v>232</v>
      </c>
      <c r="AO361" t="s">
        <v>233</v>
      </c>
      <c r="AP361" t="s">
        <v>74</v>
      </c>
      <c r="AQ361" t="s">
        <v>74</v>
      </c>
      <c r="AR361" t="s">
        <v>234</v>
      </c>
      <c r="AS361" t="s">
        <v>235</v>
      </c>
      <c r="AT361" t="s">
        <v>4964</v>
      </c>
      <c r="AU361">
        <v>1999</v>
      </c>
      <c r="AV361">
        <v>104</v>
      </c>
      <c r="AW361" t="s">
        <v>4965</v>
      </c>
      <c r="AX361" t="s">
        <v>74</v>
      </c>
      <c r="AY361" t="s">
        <v>74</v>
      </c>
      <c r="AZ361" t="s">
        <v>74</v>
      </c>
      <c r="BA361" t="s">
        <v>74</v>
      </c>
      <c r="BB361">
        <v>16691</v>
      </c>
      <c r="BC361">
        <v>16708</v>
      </c>
      <c r="BD361" t="s">
        <v>74</v>
      </c>
      <c r="BE361" t="s">
        <v>4977</v>
      </c>
      <c r="BF361" t="str">
        <f>HYPERLINK("http://dx.doi.org/10.1029/1999JD900137","http://dx.doi.org/10.1029/1999JD900137")</f>
        <v>http://dx.doi.org/10.1029/1999JD900137</v>
      </c>
      <c r="BG361" t="s">
        <v>74</v>
      </c>
      <c r="BH361" t="s">
        <v>74</v>
      </c>
      <c r="BI361">
        <v>18</v>
      </c>
      <c r="BJ361" t="s">
        <v>95</v>
      </c>
      <c r="BK361" t="s">
        <v>96</v>
      </c>
      <c r="BL361" t="s">
        <v>95</v>
      </c>
      <c r="BM361" t="s">
        <v>4967</v>
      </c>
      <c r="BN361" t="s">
        <v>74</v>
      </c>
      <c r="BO361" t="s">
        <v>250</v>
      </c>
      <c r="BP361" t="s">
        <v>74</v>
      </c>
      <c r="BQ361" t="s">
        <v>74</v>
      </c>
      <c r="BR361" t="s">
        <v>99</v>
      </c>
      <c r="BS361" t="s">
        <v>4978</v>
      </c>
      <c r="BT361" t="str">
        <f>HYPERLINK("https%3A%2F%2Fwww.webofscience.com%2Fwos%2Fwoscc%2Ffull-record%2FWOS:000081652100005","View Full Record in Web of Science")</f>
        <v>View Full Record in Web of Science</v>
      </c>
    </row>
    <row r="362" spans="1:72" x14ac:dyDescent="0.15">
      <c r="A362" t="s">
        <v>72</v>
      </c>
      <c r="B362" t="s">
        <v>4979</v>
      </c>
      <c r="C362" t="s">
        <v>74</v>
      </c>
      <c r="D362" t="s">
        <v>74</v>
      </c>
      <c r="E362" t="s">
        <v>74</v>
      </c>
      <c r="F362" t="s">
        <v>4979</v>
      </c>
      <c r="G362" t="s">
        <v>74</v>
      </c>
      <c r="H362" t="s">
        <v>74</v>
      </c>
      <c r="I362" t="s">
        <v>4980</v>
      </c>
      <c r="J362" t="s">
        <v>221</v>
      </c>
      <c r="K362" t="s">
        <v>74</v>
      </c>
      <c r="L362" t="s">
        <v>74</v>
      </c>
      <c r="M362" t="s">
        <v>77</v>
      </c>
      <c r="N362" t="s">
        <v>78</v>
      </c>
      <c r="O362" t="s">
        <v>74</v>
      </c>
      <c r="P362" t="s">
        <v>74</v>
      </c>
      <c r="Q362" t="s">
        <v>74</v>
      </c>
      <c r="R362" t="s">
        <v>74</v>
      </c>
      <c r="S362" t="s">
        <v>74</v>
      </c>
      <c r="T362" t="s">
        <v>74</v>
      </c>
      <c r="U362" t="s">
        <v>4981</v>
      </c>
      <c r="V362" t="s">
        <v>4982</v>
      </c>
      <c r="W362" t="s">
        <v>4983</v>
      </c>
      <c r="X362" t="s">
        <v>4984</v>
      </c>
      <c r="Y362" t="s">
        <v>4985</v>
      </c>
      <c r="Z362" t="s">
        <v>4986</v>
      </c>
      <c r="AA362" t="s">
        <v>4987</v>
      </c>
      <c r="AB362" t="s">
        <v>4988</v>
      </c>
      <c r="AC362" t="s">
        <v>74</v>
      </c>
      <c r="AD362" t="s">
        <v>74</v>
      </c>
      <c r="AE362" t="s">
        <v>74</v>
      </c>
      <c r="AF362" t="s">
        <v>74</v>
      </c>
      <c r="AG362">
        <v>13</v>
      </c>
      <c r="AH362">
        <v>25</v>
      </c>
      <c r="AI362">
        <v>25</v>
      </c>
      <c r="AJ362">
        <v>0</v>
      </c>
      <c r="AK362">
        <v>6</v>
      </c>
      <c r="AL362" t="s">
        <v>230</v>
      </c>
      <c r="AM362" t="s">
        <v>231</v>
      </c>
      <c r="AN362" t="s">
        <v>232</v>
      </c>
      <c r="AO362" t="s">
        <v>233</v>
      </c>
      <c r="AP362" t="s">
        <v>74</v>
      </c>
      <c r="AQ362" t="s">
        <v>74</v>
      </c>
      <c r="AR362" t="s">
        <v>234</v>
      </c>
      <c r="AS362" t="s">
        <v>235</v>
      </c>
      <c r="AT362" t="s">
        <v>4964</v>
      </c>
      <c r="AU362">
        <v>1999</v>
      </c>
      <c r="AV362">
        <v>104</v>
      </c>
      <c r="AW362" t="s">
        <v>4965</v>
      </c>
      <c r="AX362" t="s">
        <v>74</v>
      </c>
      <c r="AY362" t="s">
        <v>74</v>
      </c>
      <c r="AZ362" t="s">
        <v>74</v>
      </c>
      <c r="BA362" t="s">
        <v>74</v>
      </c>
      <c r="BB362">
        <v>16719</v>
      </c>
      <c r="BC362">
        <v>16727</v>
      </c>
      <c r="BD362" t="s">
        <v>74</v>
      </c>
      <c r="BE362" t="s">
        <v>4989</v>
      </c>
      <c r="BF362" t="str">
        <f>HYPERLINK("http://dx.doi.org/10.1029/1999JD900038","http://dx.doi.org/10.1029/1999JD900038")</f>
        <v>http://dx.doi.org/10.1029/1999JD900038</v>
      </c>
      <c r="BG362" t="s">
        <v>74</v>
      </c>
      <c r="BH362" t="s">
        <v>74</v>
      </c>
      <c r="BI362">
        <v>9</v>
      </c>
      <c r="BJ362" t="s">
        <v>95</v>
      </c>
      <c r="BK362" t="s">
        <v>96</v>
      </c>
      <c r="BL362" t="s">
        <v>95</v>
      </c>
      <c r="BM362" t="s">
        <v>4967</v>
      </c>
      <c r="BN362" t="s">
        <v>74</v>
      </c>
      <c r="BO362" t="s">
        <v>250</v>
      </c>
      <c r="BP362" t="s">
        <v>74</v>
      </c>
      <c r="BQ362" t="s">
        <v>74</v>
      </c>
      <c r="BR362" t="s">
        <v>99</v>
      </c>
      <c r="BS362" t="s">
        <v>4990</v>
      </c>
      <c r="BT362" t="str">
        <f>HYPERLINK("https%3A%2F%2Fwww.webofscience.com%2Fwos%2Fwoscc%2Ffull-record%2FWOS:000081652100007","View Full Record in Web of Science")</f>
        <v>View Full Record in Web of Science</v>
      </c>
    </row>
    <row r="363" spans="1:72" x14ac:dyDescent="0.15">
      <c r="A363" t="s">
        <v>72</v>
      </c>
      <c r="B363" t="s">
        <v>4991</v>
      </c>
      <c r="C363" t="s">
        <v>74</v>
      </c>
      <c r="D363" t="s">
        <v>74</v>
      </c>
      <c r="E363" t="s">
        <v>74</v>
      </c>
      <c r="F363" t="s">
        <v>4991</v>
      </c>
      <c r="G363" t="s">
        <v>74</v>
      </c>
      <c r="H363" t="s">
        <v>74</v>
      </c>
      <c r="I363" t="s">
        <v>4992</v>
      </c>
      <c r="J363" t="s">
        <v>221</v>
      </c>
      <c r="K363" t="s">
        <v>74</v>
      </c>
      <c r="L363" t="s">
        <v>74</v>
      </c>
      <c r="M363" t="s">
        <v>77</v>
      </c>
      <c r="N363" t="s">
        <v>78</v>
      </c>
      <c r="O363" t="s">
        <v>74</v>
      </c>
      <c r="P363" t="s">
        <v>74</v>
      </c>
      <c r="Q363" t="s">
        <v>74</v>
      </c>
      <c r="R363" t="s">
        <v>74</v>
      </c>
      <c r="S363" t="s">
        <v>74</v>
      </c>
      <c r="T363" t="s">
        <v>74</v>
      </c>
      <c r="U363" t="s">
        <v>4993</v>
      </c>
      <c r="V363" t="s">
        <v>4994</v>
      </c>
      <c r="W363" t="s">
        <v>4995</v>
      </c>
      <c r="X363" t="s">
        <v>4996</v>
      </c>
      <c r="Y363" t="s">
        <v>4997</v>
      </c>
      <c r="Z363" t="s">
        <v>4998</v>
      </c>
      <c r="AA363" t="s">
        <v>4999</v>
      </c>
      <c r="AB363" t="s">
        <v>74</v>
      </c>
      <c r="AC363" t="s">
        <v>74</v>
      </c>
      <c r="AD363" t="s">
        <v>74</v>
      </c>
      <c r="AE363" t="s">
        <v>74</v>
      </c>
      <c r="AF363" t="s">
        <v>74</v>
      </c>
      <c r="AG363">
        <v>20</v>
      </c>
      <c r="AH363">
        <v>46</v>
      </c>
      <c r="AI363">
        <v>49</v>
      </c>
      <c r="AJ363">
        <v>2</v>
      </c>
      <c r="AK363">
        <v>9</v>
      </c>
      <c r="AL363" t="s">
        <v>230</v>
      </c>
      <c r="AM363" t="s">
        <v>231</v>
      </c>
      <c r="AN363" t="s">
        <v>232</v>
      </c>
      <c r="AO363" t="s">
        <v>233</v>
      </c>
      <c r="AP363" t="s">
        <v>317</v>
      </c>
      <c r="AQ363" t="s">
        <v>74</v>
      </c>
      <c r="AR363" t="s">
        <v>234</v>
      </c>
      <c r="AS363" t="s">
        <v>235</v>
      </c>
      <c r="AT363" t="s">
        <v>5000</v>
      </c>
      <c r="AU363">
        <v>1999</v>
      </c>
      <c r="AV363">
        <v>104</v>
      </c>
      <c r="AW363" t="s">
        <v>5001</v>
      </c>
      <c r="AX363" t="s">
        <v>74</v>
      </c>
      <c r="AY363" t="s">
        <v>74</v>
      </c>
      <c r="AZ363" t="s">
        <v>74</v>
      </c>
      <c r="BA363" t="s">
        <v>74</v>
      </c>
      <c r="BB363">
        <v>16171</v>
      </c>
      <c r="BC363">
        <v>16175</v>
      </c>
      <c r="BD363" t="s">
        <v>74</v>
      </c>
      <c r="BE363" t="s">
        <v>5002</v>
      </c>
      <c r="BF363" t="str">
        <f>HYPERLINK("http://dx.doi.org/10.1029/1999JD900152","http://dx.doi.org/10.1029/1999JD900152")</f>
        <v>http://dx.doi.org/10.1029/1999JD900152</v>
      </c>
      <c r="BG363" t="s">
        <v>74</v>
      </c>
      <c r="BH363" t="s">
        <v>74</v>
      </c>
      <c r="BI363">
        <v>5</v>
      </c>
      <c r="BJ363" t="s">
        <v>95</v>
      </c>
      <c r="BK363" t="s">
        <v>96</v>
      </c>
      <c r="BL363" t="s">
        <v>95</v>
      </c>
      <c r="BM363" t="s">
        <v>5003</v>
      </c>
      <c r="BN363" t="s">
        <v>74</v>
      </c>
      <c r="BO363" t="s">
        <v>250</v>
      </c>
      <c r="BP363" t="s">
        <v>74</v>
      </c>
      <c r="BQ363" t="s">
        <v>74</v>
      </c>
      <c r="BR363" t="s">
        <v>99</v>
      </c>
      <c r="BS363" t="s">
        <v>5004</v>
      </c>
      <c r="BT363" t="str">
        <f>HYPERLINK("https%3A%2F%2Fwww.webofscience.com%2Fwos%2Fwoscc%2Ffull-record%2FWOS:000081535000020","View Full Record in Web of Science")</f>
        <v>View Full Record in Web of Science</v>
      </c>
    </row>
    <row r="364" spans="1:72" x14ac:dyDescent="0.15">
      <c r="A364" t="s">
        <v>72</v>
      </c>
      <c r="B364" t="s">
        <v>5005</v>
      </c>
      <c r="C364" t="s">
        <v>74</v>
      </c>
      <c r="D364" t="s">
        <v>74</v>
      </c>
      <c r="E364" t="s">
        <v>74</v>
      </c>
      <c r="F364" t="s">
        <v>5005</v>
      </c>
      <c r="G364" t="s">
        <v>74</v>
      </c>
      <c r="H364" t="s">
        <v>74</v>
      </c>
      <c r="I364" t="s">
        <v>5006</v>
      </c>
      <c r="J364" t="s">
        <v>5007</v>
      </c>
      <c r="K364" t="s">
        <v>74</v>
      </c>
      <c r="L364" t="s">
        <v>74</v>
      </c>
      <c r="M364" t="s">
        <v>77</v>
      </c>
      <c r="N364" t="s">
        <v>78</v>
      </c>
      <c r="O364" t="s">
        <v>74</v>
      </c>
      <c r="P364" t="s">
        <v>74</v>
      </c>
      <c r="Q364" t="s">
        <v>74</v>
      </c>
      <c r="R364" t="s">
        <v>74</v>
      </c>
      <c r="S364" t="s">
        <v>74</v>
      </c>
      <c r="T364" t="s">
        <v>74</v>
      </c>
      <c r="U364" t="s">
        <v>5008</v>
      </c>
      <c r="V364" t="s">
        <v>5009</v>
      </c>
      <c r="W364" t="s">
        <v>271</v>
      </c>
      <c r="X364" t="s">
        <v>272</v>
      </c>
      <c r="Y364" t="s">
        <v>273</v>
      </c>
      <c r="Z364" t="s">
        <v>74</v>
      </c>
      <c r="AA364" t="s">
        <v>5010</v>
      </c>
      <c r="AB364" t="s">
        <v>5011</v>
      </c>
      <c r="AC364" t="s">
        <v>74</v>
      </c>
      <c r="AD364" t="s">
        <v>74</v>
      </c>
      <c r="AE364" t="s">
        <v>74</v>
      </c>
      <c r="AF364" t="s">
        <v>74</v>
      </c>
      <c r="AG364">
        <v>17</v>
      </c>
      <c r="AH364">
        <v>28</v>
      </c>
      <c r="AI364">
        <v>30</v>
      </c>
      <c r="AJ364">
        <v>0</v>
      </c>
      <c r="AK364">
        <v>1</v>
      </c>
      <c r="AL364" t="s">
        <v>275</v>
      </c>
      <c r="AM364" t="s">
        <v>276</v>
      </c>
      <c r="AN364" t="s">
        <v>277</v>
      </c>
      <c r="AO364" t="s">
        <v>5012</v>
      </c>
      <c r="AP364" t="s">
        <v>74</v>
      </c>
      <c r="AQ364" t="s">
        <v>74</v>
      </c>
      <c r="AR364" t="s">
        <v>5013</v>
      </c>
      <c r="AS364" t="s">
        <v>5014</v>
      </c>
      <c r="AT364" t="s">
        <v>5015</v>
      </c>
      <c r="AU364">
        <v>1999</v>
      </c>
      <c r="AV364">
        <v>10</v>
      </c>
      <c r="AW364">
        <v>14</v>
      </c>
      <c r="AX364" t="s">
        <v>74</v>
      </c>
      <c r="AY364" t="s">
        <v>74</v>
      </c>
      <c r="AZ364" t="s">
        <v>74</v>
      </c>
      <c r="BA364" t="s">
        <v>74</v>
      </c>
      <c r="BB364">
        <v>2647</v>
      </c>
      <c r="BC364">
        <v>2650</v>
      </c>
      <c r="BD364" t="s">
        <v>74</v>
      </c>
      <c r="BE364" t="s">
        <v>5016</v>
      </c>
      <c r="BF364" t="str">
        <f>HYPERLINK("http://dx.doi.org/10.1016/S0957-4166(99)00273-6","http://dx.doi.org/10.1016/S0957-4166(99)00273-6")</f>
        <v>http://dx.doi.org/10.1016/S0957-4166(99)00273-6</v>
      </c>
      <c r="BG364" t="s">
        <v>74</v>
      </c>
      <c r="BH364" t="s">
        <v>74</v>
      </c>
      <c r="BI364">
        <v>4</v>
      </c>
      <c r="BJ364" t="s">
        <v>5017</v>
      </c>
      <c r="BK364" t="s">
        <v>284</v>
      </c>
      <c r="BL364" t="s">
        <v>285</v>
      </c>
      <c r="BM364" t="s">
        <v>5018</v>
      </c>
      <c r="BN364" t="s">
        <v>74</v>
      </c>
      <c r="BO364" t="s">
        <v>74</v>
      </c>
      <c r="BP364" t="s">
        <v>74</v>
      </c>
      <c r="BQ364" t="s">
        <v>74</v>
      </c>
      <c r="BR364" t="s">
        <v>99</v>
      </c>
      <c r="BS364" t="s">
        <v>5019</v>
      </c>
      <c r="BT364" t="str">
        <f>HYPERLINK("https%3A%2F%2Fwww.webofscience.com%2Fwos%2Fwoscc%2Ffull-record%2FWOS:000082309500004","View Full Record in Web of Science")</f>
        <v>View Full Record in Web of Science</v>
      </c>
    </row>
    <row r="365" spans="1:72" x14ac:dyDescent="0.15">
      <c r="A365" t="s">
        <v>72</v>
      </c>
      <c r="B365" t="s">
        <v>5020</v>
      </c>
      <c r="C365" t="s">
        <v>74</v>
      </c>
      <c r="D365" t="s">
        <v>74</v>
      </c>
      <c r="E365" t="s">
        <v>74</v>
      </c>
      <c r="F365" t="s">
        <v>5020</v>
      </c>
      <c r="G365" t="s">
        <v>74</v>
      </c>
      <c r="H365" t="s">
        <v>74</v>
      </c>
      <c r="I365" t="s">
        <v>5021</v>
      </c>
      <c r="J365" t="s">
        <v>378</v>
      </c>
      <c r="K365" t="s">
        <v>74</v>
      </c>
      <c r="L365" t="s">
        <v>74</v>
      </c>
      <c r="M365" t="s">
        <v>77</v>
      </c>
      <c r="N365" t="s">
        <v>78</v>
      </c>
      <c r="O365" t="s">
        <v>74</v>
      </c>
      <c r="P365" t="s">
        <v>74</v>
      </c>
      <c r="Q365" t="s">
        <v>74</v>
      </c>
      <c r="R365" t="s">
        <v>74</v>
      </c>
      <c r="S365" t="s">
        <v>74</v>
      </c>
      <c r="T365" t="s">
        <v>74</v>
      </c>
      <c r="U365" t="s">
        <v>5022</v>
      </c>
      <c r="V365" t="s">
        <v>5023</v>
      </c>
      <c r="W365" t="s">
        <v>5024</v>
      </c>
      <c r="X365" t="s">
        <v>5025</v>
      </c>
      <c r="Y365" t="s">
        <v>5026</v>
      </c>
      <c r="Z365" t="s">
        <v>74</v>
      </c>
      <c r="AA365" t="s">
        <v>5027</v>
      </c>
      <c r="AB365" t="s">
        <v>5028</v>
      </c>
      <c r="AC365" t="s">
        <v>74</v>
      </c>
      <c r="AD365" t="s">
        <v>74</v>
      </c>
      <c r="AE365" t="s">
        <v>74</v>
      </c>
      <c r="AF365" t="s">
        <v>74</v>
      </c>
      <c r="AG365">
        <v>11</v>
      </c>
      <c r="AH365">
        <v>29</v>
      </c>
      <c r="AI365">
        <v>32</v>
      </c>
      <c r="AJ365">
        <v>0</v>
      </c>
      <c r="AK365">
        <v>3</v>
      </c>
      <c r="AL365" t="s">
        <v>230</v>
      </c>
      <c r="AM365" t="s">
        <v>231</v>
      </c>
      <c r="AN365" t="s">
        <v>232</v>
      </c>
      <c r="AO365" t="s">
        <v>382</v>
      </c>
      <c r="AP365" t="s">
        <v>74</v>
      </c>
      <c r="AQ365" t="s">
        <v>74</v>
      </c>
      <c r="AR365" t="s">
        <v>383</v>
      </c>
      <c r="AS365" t="s">
        <v>384</v>
      </c>
      <c r="AT365" t="s">
        <v>5029</v>
      </c>
      <c r="AU365">
        <v>1999</v>
      </c>
      <c r="AV365">
        <v>26</v>
      </c>
      <c r="AW365">
        <v>14</v>
      </c>
      <c r="AX365" t="s">
        <v>74</v>
      </c>
      <c r="AY365" t="s">
        <v>74</v>
      </c>
      <c r="AZ365" t="s">
        <v>74</v>
      </c>
      <c r="BA365" t="s">
        <v>74</v>
      </c>
      <c r="BB365">
        <v>2097</v>
      </c>
      <c r="BC365">
        <v>2100</v>
      </c>
      <c r="BD365" t="s">
        <v>74</v>
      </c>
      <c r="BE365" t="s">
        <v>5030</v>
      </c>
      <c r="BF365" t="str">
        <f>HYPERLINK("http://dx.doi.org/10.1029/1999GL900387","http://dx.doi.org/10.1029/1999GL900387")</f>
        <v>http://dx.doi.org/10.1029/1999GL900387</v>
      </c>
      <c r="BG365" t="s">
        <v>74</v>
      </c>
      <c r="BH365" t="s">
        <v>74</v>
      </c>
      <c r="BI365">
        <v>4</v>
      </c>
      <c r="BJ365" t="s">
        <v>387</v>
      </c>
      <c r="BK365" t="s">
        <v>96</v>
      </c>
      <c r="BL365" t="s">
        <v>388</v>
      </c>
      <c r="BM365" t="s">
        <v>5031</v>
      </c>
      <c r="BN365" t="s">
        <v>74</v>
      </c>
      <c r="BO365" t="s">
        <v>250</v>
      </c>
      <c r="BP365" t="s">
        <v>74</v>
      </c>
      <c r="BQ365" t="s">
        <v>74</v>
      </c>
      <c r="BR365" t="s">
        <v>99</v>
      </c>
      <c r="BS365" t="s">
        <v>5032</v>
      </c>
      <c r="BT365" t="str">
        <f>HYPERLINK("https%3A%2F%2Fwww.webofscience.com%2Fwos%2Fwoscc%2Ffull-record%2FWOS:000081527100016","View Full Record in Web of Science")</f>
        <v>View Full Record in Web of Science</v>
      </c>
    </row>
    <row r="366" spans="1:72" x14ac:dyDescent="0.15">
      <c r="A366" t="s">
        <v>72</v>
      </c>
      <c r="B366" t="s">
        <v>5033</v>
      </c>
      <c r="C366" t="s">
        <v>74</v>
      </c>
      <c r="D366" t="s">
        <v>74</v>
      </c>
      <c r="E366" t="s">
        <v>74</v>
      </c>
      <c r="F366" t="s">
        <v>5033</v>
      </c>
      <c r="G366" t="s">
        <v>74</v>
      </c>
      <c r="H366" t="s">
        <v>74</v>
      </c>
      <c r="I366" t="s">
        <v>5034</v>
      </c>
      <c r="J366" t="s">
        <v>378</v>
      </c>
      <c r="K366" t="s">
        <v>74</v>
      </c>
      <c r="L366" t="s">
        <v>74</v>
      </c>
      <c r="M366" t="s">
        <v>77</v>
      </c>
      <c r="N366" t="s">
        <v>78</v>
      </c>
      <c r="O366" t="s">
        <v>74</v>
      </c>
      <c r="P366" t="s">
        <v>74</v>
      </c>
      <c r="Q366" t="s">
        <v>74</v>
      </c>
      <c r="R366" t="s">
        <v>74</v>
      </c>
      <c r="S366" t="s">
        <v>74</v>
      </c>
      <c r="T366" t="s">
        <v>74</v>
      </c>
      <c r="U366" t="s">
        <v>5035</v>
      </c>
      <c r="V366" t="s">
        <v>5036</v>
      </c>
      <c r="W366" t="s">
        <v>5037</v>
      </c>
      <c r="X366" t="s">
        <v>5038</v>
      </c>
      <c r="Y366" t="s">
        <v>5039</v>
      </c>
      <c r="Z366" t="s">
        <v>74</v>
      </c>
      <c r="AA366" t="s">
        <v>5040</v>
      </c>
      <c r="AB366" t="s">
        <v>5041</v>
      </c>
      <c r="AC366" t="s">
        <v>74</v>
      </c>
      <c r="AD366" t="s">
        <v>74</v>
      </c>
      <c r="AE366" t="s">
        <v>74</v>
      </c>
      <c r="AF366" t="s">
        <v>74</v>
      </c>
      <c r="AG366">
        <v>25</v>
      </c>
      <c r="AH366">
        <v>6</v>
      </c>
      <c r="AI366">
        <v>6</v>
      </c>
      <c r="AJ366">
        <v>0</v>
      </c>
      <c r="AK366">
        <v>4</v>
      </c>
      <c r="AL366" t="s">
        <v>230</v>
      </c>
      <c r="AM366" t="s">
        <v>231</v>
      </c>
      <c r="AN366" t="s">
        <v>232</v>
      </c>
      <c r="AO366" t="s">
        <v>382</v>
      </c>
      <c r="AP366" t="s">
        <v>74</v>
      </c>
      <c r="AQ366" t="s">
        <v>74</v>
      </c>
      <c r="AR366" t="s">
        <v>383</v>
      </c>
      <c r="AS366" t="s">
        <v>384</v>
      </c>
      <c r="AT366" t="s">
        <v>5029</v>
      </c>
      <c r="AU366">
        <v>1999</v>
      </c>
      <c r="AV366">
        <v>26</v>
      </c>
      <c r="AW366">
        <v>14</v>
      </c>
      <c r="AX366" t="s">
        <v>74</v>
      </c>
      <c r="AY366" t="s">
        <v>74</v>
      </c>
      <c r="AZ366" t="s">
        <v>74</v>
      </c>
      <c r="BA366" t="s">
        <v>74</v>
      </c>
      <c r="BB366">
        <v>2199</v>
      </c>
      <c r="BC366">
        <v>2202</v>
      </c>
      <c r="BD366" t="s">
        <v>74</v>
      </c>
      <c r="BE366" t="s">
        <v>5042</v>
      </c>
      <c r="BF366" t="str">
        <f>HYPERLINK("http://dx.doi.org/10.1029/1999GL900385","http://dx.doi.org/10.1029/1999GL900385")</f>
        <v>http://dx.doi.org/10.1029/1999GL900385</v>
      </c>
      <c r="BG366" t="s">
        <v>74</v>
      </c>
      <c r="BH366" t="s">
        <v>74</v>
      </c>
      <c r="BI366">
        <v>4</v>
      </c>
      <c r="BJ366" t="s">
        <v>387</v>
      </c>
      <c r="BK366" t="s">
        <v>96</v>
      </c>
      <c r="BL366" t="s">
        <v>388</v>
      </c>
      <c r="BM366" t="s">
        <v>5031</v>
      </c>
      <c r="BN366" t="s">
        <v>74</v>
      </c>
      <c r="BO366" t="s">
        <v>74</v>
      </c>
      <c r="BP366" t="s">
        <v>74</v>
      </c>
      <c r="BQ366" t="s">
        <v>74</v>
      </c>
      <c r="BR366" t="s">
        <v>99</v>
      </c>
      <c r="BS366" t="s">
        <v>5043</v>
      </c>
      <c r="BT366" t="str">
        <f>HYPERLINK("https%3A%2F%2Fwww.webofscience.com%2Fwos%2Fwoscc%2Ffull-record%2FWOS:000081527100042","View Full Record in Web of Science")</f>
        <v>View Full Record in Web of Science</v>
      </c>
    </row>
    <row r="367" spans="1:72" x14ac:dyDescent="0.15">
      <c r="A367" t="s">
        <v>72</v>
      </c>
      <c r="B367" t="s">
        <v>5044</v>
      </c>
      <c r="C367" t="s">
        <v>74</v>
      </c>
      <c r="D367" t="s">
        <v>74</v>
      </c>
      <c r="E367" t="s">
        <v>74</v>
      </c>
      <c r="F367" t="s">
        <v>5044</v>
      </c>
      <c r="G367" t="s">
        <v>74</v>
      </c>
      <c r="H367" t="s">
        <v>74</v>
      </c>
      <c r="I367" t="s">
        <v>5045</v>
      </c>
      <c r="J367" t="s">
        <v>403</v>
      </c>
      <c r="K367" t="s">
        <v>74</v>
      </c>
      <c r="L367" t="s">
        <v>74</v>
      </c>
      <c r="M367" t="s">
        <v>77</v>
      </c>
      <c r="N367" t="s">
        <v>78</v>
      </c>
      <c r="O367" t="s">
        <v>74</v>
      </c>
      <c r="P367" t="s">
        <v>74</v>
      </c>
      <c r="Q367" t="s">
        <v>74</v>
      </c>
      <c r="R367" t="s">
        <v>74</v>
      </c>
      <c r="S367" t="s">
        <v>74</v>
      </c>
      <c r="T367" t="s">
        <v>74</v>
      </c>
      <c r="U367" t="s">
        <v>5046</v>
      </c>
      <c r="V367" t="s">
        <v>5047</v>
      </c>
      <c r="W367" t="s">
        <v>1221</v>
      </c>
      <c r="X367" t="s">
        <v>1222</v>
      </c>
      <c r="Y367" t="s">
        <v>5048</v>
      </c>
      <c r="Z367" t="s">
        <v>5049</v>
      </c>
      <c r="AA367" t="s">
        <v>74</v>
      </c>
      <c r="AB367" t="s">
        <v>74</v>
      </c>
      <c r="AC367" t="s">
        <v>74</v>
      </c>
      <c r="AD367" t="s">
        <v>74</v>
      </c>
      <c r="AE367" t="s">
        <v>74</v>
      </c>
      <c r="AF367" t="s">
        <v>74</v>
      </c>
      <c r="AG367">
        <v>51</v>
      </c>
      <c r="AH367">
        <v>29</v>
      </c>
      <c r="AI367">
        <v>31</v>
      </c>
      <c r="AJ367">
        <v>0</v>
      </c>
      <c r="AK367">
        <v>1</v>
      </c>
      <c r="AL367" t="s">
        <v>230</v>
      </c>
      <c r="AM367" t="s">
        <v>231</v>
      </c>
      <c r="AN367" t="s">
        <v>232</v>
      </c>
      <c r="AO367" t="s">
        <v>410</v>
      </c>
      <c r="AP367" t="s">
        <v>411</v>
      </c>
      <c r="AQ367" t="s">
        <v>74</v>
      </c>
      <c r="AR367" t="s">
        <v>412</v>
      </c>
      <c r="AS367" t="s">
        <v>413</v>
      </c>
      <c r="AT367" t="s">
        <v>5029</v>
      </c>
      <c r="AU367">
        <v>1999</v>
      </c>
      <c r="AV367">
        <v>104</v>
      </c>
      <c r="AW367" t="s">
        <v>5050</v>
      </c>
      <c r="AX367" t="s">
        <v>74</v>
      </c>
      <c r="AY367" t="s">
        <v>74</v>
      </c>
      <c r="AZ367" t="s">
        <v>74</v>
      </c>
      <c r="BA367" t="s">
        <v>74</v>
      </c>
      <c r="BB367">
        <v>15515</v>
      </c>
      <c r="BC367">
        <v>15536</v>
      </c>
      <c r="BD367" t="s">
        <v>74</v>
      </c>
      <c r="BE367" t="s">
        <v>5051</v>
      </c>
      <c r="BF367" t="str">
        <f>HYPERLINK("http://dx.doi.org/10.1029/1999JC900102","http://dx.doi.org/10.1029/1999JC900102")</f>
        <v>http://dx.doi.org/10.1029/1999JC900102</v>
      </c>
      <c r="BG367" t="s">
        <v>74</v>
      </c>
      <c r="BH367" t="s">
        <v>74</v>
      </c>
      <c r="BI367">
        <v>22</v>
      </c>
      <c r="BJ367" t="s">
        <v>416</v>
      </c>
      <c r="BK367" t="s">
        <v>96</v>
      </c>
      <c r="BL367" t="s">
        <v>416</v>
      </c>
      <c r="BM367" t="s">
        <v>5052</v>
      </c>
      <c r="BN367" t="s">
        <v>74</v>
      </c>
      <c r="BO367" t="s">
        <v>250</v>
      </c>
      <c r="BP367" t="s">
        <v>74</v>
      </c>
      <c r="BQ367" t="s">
        <v>74</v>
      </c>
      <c r="BR367" t="s">
        <v>99</v>
      </c>
      <c r="BS367" t="s">
        <v>5053</v>
      </c>
      <c r="BT367" t="str">
        <f>HYPERLINK("https%3A%2F%2Fwww.webofscience.com%2Fwos%2Fwoscc%2Ffull-record%2FWOS:000081512000003","View Full Record in Web of Science")</f>
        <v>View Full Record in Web of Science</v>
      </c>
    </row>
    <row r="368" spans="1:72" x14ac:dyDescent="0.15">
      <c r="A368" t="s">
        <v>72</v>
      </c>
      <c r="B368" t="s">
        <v>5054</v>
      </c>
      <c r="C368" t="s">
        <v>74</v>
      </c>
      <c r="D368" t="s">
        <v>74</v>
      </c>
      <c r="E368" t="s">
        <v>74</v>
      </c>
      <c r="F368" t="s">
        <v>5054</v>
      </c>
      <c r="G368" t="s">
        <v>74</v>
      </c>
      <c r="H368" t="s">
        <v>74</v>
      </c>
      <c r="I368" t="s">
        <v>5055</v>
      </c>
      <c r="J368" t="s">
        <v>403</v>
      </c>
      <c r="K368" t="s">
        <v>74</v>
      </c>
      <c r="L368" t="s">
        <v>74</v>
      </c>
      <c r="M368" t="s">
        <v>77</v>
      </c>
      <c r="N368" t="s">
        <v>78</v>
      </c>
      <c r="O368" t="s">
        <v>74</v>
      </c>
      <c r="P368" t="s">
        <v>74</v>
      </c>
      <c r="Q368" t="s">
        <v>74</v>
      </c>
      <c r="R368" t="s">
        <v>74</v>
      </c>
      <c r="S368" t="s">
        <v>74</v>
      </c>
      <c r="T368" t="s">
        <v>74</v>
      </c>
      <c r="U368" t="s">
        <v>5056</v>
      </c>
      <c r="V368" t="s">
        <v>5057</v>
      </c>
      <c r="W368" t="s">
        <v>5058</v>
      </c>
      <c r="X368" t="s">
        <v>5059</v>
      </c>
      <c r="Y368" t="s">
        <v>5060</v>
      </c>
      <c r="Z368" t="s">
        <v>5061</v>
      </c>
      <c r="AA368" t="s">
        <v>5062</v>
      </c>
      <c r="AB368" t="s">
        <v>5063</v>
      </c>
      <c r="AC368" t="s">
        <v>74</v>
      </c>
      <c r="AD368" t="s">
        <v>74</v>
      </c>
      <c r="AE368" t="s">
        <v>74</v>
      </c>
      <c r="AF368" t="s">
        <v>74</v>
      </c>
      <c r="AG368">
        <v>31</v>
      </c>
      <c r="AH368">
        <v>65</v>
      </c>
      <c r="AI368">
        <v>67</v>
      </c>
      <c r="AJ368">
        <v>1</v>
      </c>
      <c r="AK368">
        <v>17</v>
      </c>
      <c r="AL368" t="s">
        <v>230</v>
      </c>
      <c r="AM368" t="s">
        <v>231</v>
      </c>
      <c r="AN368" t="s">
        <v>232</v>
      </c>
      <c r="AO368" t="s">
        <v>410</v>
      </c>
      <c r="AP368" t="s">
        <v>411</v>
      </c>
      <c r="AQ368" t="s">
        <v>74</v>
      </c>
      <c r="AR368" t="s">
        <v>412</v>
      </c>
      <c r="AS368" t="s">
        <v>413</v>
      </c>
      <c r="AT368" t="s">
        <v>5029</v>
      </c>
      <c r="AU368">
        <v>1999</v>
      </c>
      <c r="AV368">
        <v>104</v>
      </c>
      <c r="AW368" t="s">
        <v>5050</v>
      </c>
      <c r="AX368" t="s">
        <v>74</v>
      </c>
      <c r="AY368" t="s">
        <v>74</v>
      </c>
      <c r="AZ368" t="s">
        <v>74</v>
      </c>
      <c r="BA368" t="s">
        <v>74</v>
      </c>
      <c r="BB368">
        <v>15789</v>
      </c>
      <c r="BC368">
        <v>15802</v>
      </c>
      <c r="BD368" t="s">
        <v>74</v>
      </c>
      <c r="BE368" t="s">
        <v>5064</v>
      </c>
      <c r="BF368" t="str">
        <f>HYPERLINK("http://dx.doi.org/10.1029/1999JC900076","http://dx.doi.org/10.1029/1999JC900076")</f>
        <v>http://dx.doi.org/10.1029/1999JC900076</v>
      </c>
      <c r="BG368" t="s">
        <v>74</v>
      </c>
      <c r="BH368" t="s">
        <v>74</v>
      </c>
      <c r="BI368">
        <v>14</v>
      </c>
      <c r="BJ368" t="s">
        <v>416</v>
      </c>
      <c r="BK368" t="s">
        <v>96</v>
      </c>
      <c r="BL368" t="s">
        <v>416</v>
      </c>
      <c r="BM368" t="s">
        <v>5052</v>
      </c>
      <c r="BN368" t="s">
        <v>74</v>
      </c>
      <c r="BO368" t="s">
        <v>74</v>
      </c>
      <c r="BP368" t="s">
        <v>74</v>
      </c>
      <c r="BQ368" t="s">
        <v>74</v>
      </c>
      <c r="BR368" t="s">
        <v>99</v>
      </c>
      <c r="BS368" t="s">
        <v>5065</v>
      </c>
      <c r="BT368" t="str">
        <f>HYPERLINK("https%3A%2F%2Fwww.webofscience.com%2Fwos%2Fwoscc%2Ffull-record%2FWOS:000081512000020","View Full Record in Web of Science")</f>
        <v>View Full Record in Web of Science</v>
      </c>
    </row>
    <row r="369" spans="1:72" x14ac:dyDescent="0.15">
      <c r="A369" t="s">
        <v>72</v>
      </c>
      <c r="B369" t="s">
        <v>5066</v>
      </c>
      <c r="C369" t="s">
        <v>74</v>
      </c>
      <c r="D369" t="s">
        <v>74</v>
      </c>
      <c r="E369" t="s">
        <v>74</v>
      </c>
      <c r="F369" t="s">
        <v>5066</v>
      </c>
      <c r="G369" t="s">
        <v>74</v>
      </c>
      <c r="H369" t="s">
        <v>74</v>
      </c>
      <c r="I369" t="s">
        <v>5067</v>
      </c>
      <c r="J369" t="s">
        <v>403</v>
      </c>
      <c r="K369" t="s">
        <v>74</v>
      </c>
      <c r="L369" t="s">
        <v>74</v>
      </c>
      <c r="M369" t="s">
        <v>77</v>
      </c>
      <c r="N369" t="s">
        <v>78</v>
      </c>
      <c r="O369" t="s">
        <v>74</v>
      </c>
      <c r="P369" t="s">
        <v>74</v>
      </c>
      <c r="Q369" t="s">
        <v>74</v>
      </c>
      <c r="R369" t="s">
        <v>74</v>
      </c>
      <c r="S369" t="s">
        <v>74</v>
      </c>
      <c r="T369" t="s">
        <v>74</v>
      </c>
      <c r="U369" t="s">
        <v>5068</v>
      </c>
      <c r="V369" t="s">
        <v>5069</v>
      </c>
      <c r="W369" t="s">
        <v>5070</v>
      </c>
      <c r="X369" t="s">
        <v>5071</v>
      </c>
      <c r="Y369" t="s">
        <v>4314</v>
      </c>
      <c r="Z369" t="s">
        <v>5072</v>
      </c>
      <c r="AA369" t="s">
        <v>5073</v>
      </c>
      <c r="AB369" t="s">
        <v>5074</v>
      </c>
      <c r="AC369" t="s">
        <v>74</v>
      </c>
      <c r="AD369" t="s">
        <v>74</v>
      </c>
      <c r="AE369" t="s">
        <v>74</v>
      </c>
      <c r="AF369" t="s">
        <v>74</v>
      </c>
      <c r="AG369">
        <v>18</v>
      </c>
      <c r="AH369">
        <v>57</v>
      </c>
      <c r="AI369">
        <v>67</v>
      </c>
      <c r="AJ369">
        <v>2</v>
      </c>
      <c r="AK369">
        <v>9</v>
      </c>
      <c r="AL369" t="s">
        <v>230</v>
      </c>
      <c r="AM369" t="s">
        <v>231</v>
      </c>
      <c r="AN369" t="s">
        <v>232</v>
      </c>
      <c r="AO369" t="s">
        <v>410</v>
      </c>
      <c r="AP369" t="s">
        <v>411</v>
      </c>
      <c r="AQ369" t="s">
        <v>74</v>
      </c>
      <c r="AR369" t="s">
        <v>412</v>
      </c>
      <c r="AS369" t="s">
        <v>413</v>
      </c>
      <c r="AT369" t="s">
        <v>5029</v>
      </c>
      <c r="AU369">
        <v>1999</v>
      </c>
      <c r="AV369">
        <v>104</v>
      </c>
      <c r="AW369" t="s">
        <v>5050</v>
      </c>
      <c r="AX369" t="s">
        <v>74</v>
      </c>
      <c r="AY369" t="s">
        <v>74</v>
      </c>
      <c r="AZ369" t="s">
        <v>74</v>
      </c>
      <c r="BA369" t="s">
        <v>74</v>
      </c>
      <c r="BB369">
        <v>15815</v>
      </c>
      <c r="BC369">
        <v>15825</v>
      </c>
      <c r="BD369" t="s">
        <v>74</v>
      </c>
      <c r="BE369" t="s">
        <v>5075</v>
      </c>
      <c r="BF369" t="str">
        <f>HYPERLINK("http://dx.doi.org/10.1029/1999JC900127","http://dx.doi.org/10.1029/1999JC900127")</f>
        <v>http://dx.doi.org/10.1029/1999JC900127</v>
      </c>
      <c r="BG369" t="s">
        <v>74</v>
      </c>
      <c r="BH369" t="s">
        <v>74</v>
      </c>
      <c r="BI369">
        <v>11</v>
      </c>
      <c r="BJ369" t="s">
        <v>416</v>
      </c>
      <c r="BK369" t="s">
        <v>96</v>
      </c>
      <c r="BL369" t="s">
        <v>416</v>
      </c>
      <c r="BM369" t="s">
        <v>5052</v>
      </c>
      <c r="BN369" t="s">
        <v>74</v>
      </c>
      <c r="BO369" t="s">
        <v>74</v>
      </c>
      <c r="BP369" t="s">
        <v>74</v>
      </c>
      <c r="BQ369" t="s">
        <v>74</v>
      </c>
      <c r="BR369" t="s">
        <v>99</v>
      </c>
      <c r="BS369" t="s">
        <v>5076</v>
      </c>
      <c r="BT369" t="str">
        <f>HYPERLINK("https%3A%2F%2Fwww.webofscience.com%2Fwos%2Fwoscc%2Ffull-record%2FWOS:000081512000022","View Full Record in Web of Science")</f>
        <v>View Full Record in Web of Science</v>
      </c>
    </row>
    <row r="370" spans="1:72" x14ac:dyDescent="0.15">
      <c r="A370" t="s">
        <v>72</v>
      </c>
      <c r="B370" t="s">
        <v>5077</v>
      </c>
      <c r="C370" t="s">
        <v>74</v>
      </c>
      <c r="D370" t="s">
        <v>74</v>
      </c>
      <c r="E370" t="s">
        <v>74</v>
      </c>
      <c r="F370" t="s">
        <v>5077</v>
      </c>
      <c r="G370" t="s">
        <v>74</v>
      </c>
      <c r="H370" t="s">
        <v>74</v>
      </c>
      <c r="I370" t="s">
        <v>5078</v>
      </c>
      <c r="J370" t="s">
        <v>403</v>
      </c>
      <c r="K370" t="s">
        <v>74</v>
      </c>
      <c r="L370" t="s">
        <v>74</v>
      </c>
      <c r="M370" t="s">
        <v>77</v>
      </c>
      <c r="N370" t="s">
        <v>78</v>
      </c>
      <c r="O370" t="s">
        <v>74</v>
      </c>
      <c r="P370" t="s">
        <v>74</v>
      </c>
      <c r="Q370" t="s">
        <v>74</v>
      </c>
      <c r="R370" t="s">
        <v>74</v>
      </c>
      <c r="S370" t="s">
        <v>74</v>
      </c>
      <c r="T370" t="s">
        <v>74</v>
      </c>
      <c r="U370" t="s">
        <v>5079</v>
      </c>
      <c r="V370" t="s">
        <v>5080</v>
      </c>
      <c r="W370" t="s">
        <v>5081</v>
      </c>
      <c r="X370" t="s">
        <v>5082</v>
      </c>
      <c r="Y370" t="s">
        <v>5083</v>
      </c>
      <c r="Z370" t="s">
        <v>5084</v>
      </c>
      <c r="AA370" t="s">
        <v>2951</v>
      </c>
      <c r="AB370" t="s">
        <v>2952</v>
      </c>
      <c r="AC370" t="s">
        <v>74</v>
      </c>
      <c r="AD370" t="s">
        <v>74</v>
      </c>
      <c r="AE370" t="s">
        <v>74</v>
      </c>
      <c r="AF370" t="s">
        <v>74</v>
      </c>
      <c r="AG370">
        <v>53</v>
      </c>
      <c r="AH370">
        <v>21</v>
      </c>
      <c r="AI370">
        <v>22</v>
      </c>
      <c r="AJ370">
        <v>0</v>
      </c>
      <c r="AK370">
        <v>5</v>
      </c>
      <c r="AL370" t="s">
        <v>230</v>
      </c>
      <c r="AM370" t="s">
        <v>231</v>
      </c>
      <c r="AN370" t="s">
        <v>232</v>
      </c>
      <c r="AO370" t="s">
        <v>410</v>
      </c>
      <c r="AP370" t="s">
        <v>411</v>
      </c>
      <c r="AQ370" t="s">
        <v>74</v>
      </c>
      <c r="AR370" t="s">
        <v>412</v>
      </c>
      <c r="AS370" t="s">
        <v>413</v>
      </c>
      <c r="AT370" t="s">
        <v>5029</v>
      </c>
      <c r="AU370">
        <v>1999</v>
      </c>
      <c r="AV370">
        <v>104</v>
      </c>
      <c r="AW370" t="s">
        <v>5050</v>
      </c>
      <c r="AX370" t="s">
        <v>74</v>
      </c>
      <c r="AY370" t="s">
        <v>74</v>
      </c>
      <c r="AZ370" t="s">
        <v>74</v>
      </c>
      <c r="BA370" t="s">
        <v>74</v>
      </c>
      <c r="BB370">
        <v>15873</v>
      </c>
      <c r="BC370">
        <v>15884</v>
      </c>
      <c r="BD370" t="s">
        <v>74</v>
      </c>
      <c r="BE370" t="s">
        <v>5085</v>
      </c>
      <c r="BF370" t="str">
        <f>HYPERLINK("http://dx.doi.org/10.1029/1999JC900110","http://dx.doi.org/10.1029/1999JC900110")</f>
        <v>http://dx.doi.org/10.1029/1999JC900110</v>
      </c>
      <c r="BG370" t="s">
        <v>74</v>
      </c>
      <c r="BH370" t="s">
        <v>74</v>
      </c>
      <c r="BI370">
        <v>12</v>
      </c>
      <c r="BJ370" t="s">
        <v>416</v>
      </c>
      <c r="BK370" t="s">
        <v>96</v>
      </c>
      <c r="BL370" t="s">
        <v>416</v>
      </c>
      <c r="BM370" t="s">
        <v>5052</v>
      </c>
      <c r="BN370" t="s">
        <v>74</v>
      </c>
      <c r="BO370" t="s">
        <v>250</v>
      </c>
      <c r="BP370" t="s">
        <v>74</v>
      </c>
      <c r="BQ370" t="s">
        <v>74</v>
      </c>
      <c r="BR370" t="s">
        <v>99</v>
      </c>
      <c r="BS370" t="s">
        <v>5086</v>
      </c>
      <c r="BT370" t="str">
        <f>HYPERLINK("https%3A%2F%2Fwww.webofscience.com%2Fwos%2Fwoscc%2Ffull-record%2FWOS:000081512000026","View Full Record in Web of Science")</f>
        <v>View Full Record in Web of Science</v>
      </c>
    </row>
    <row r="371" spans="1:72" x14ac:dyDescent="0.15">
      <c r="A371" t="s">
        <v>72</v>
      </c>
      <c r="B371" t="s">
        <v>5087</v>
      </c>
      <c r="C371" t="s">
        <v>74</v>
      </c>
      <c r="D371" t="s">
        <v>74</v>
      </c>
      <c r="E371" t="s">
        <v>74</v>
      </c>
      <c r="F371" t="s">
        <v>5087</v>
      </c>
      <c r="G371" t="s">
        <v>74</v>
      </c>
      <c r="H371" t="s">
        <v>74</v>
      </c>
      <c r="I371" t="s">
        <v>5088</v>
      </c>
      <c r="J371" t="s">
        <v>5089</v>
      </c>
      <c r="K371" t="s">
        <v>74</v>
      </c>
      <c r="L371" t="s">
        <v>74</v>
      </c>
      <c r="M371" t="s">
        <v>77</v>
      </c>
      <c r="N371" t="s">
        <v>78</v>
      </c>
      <c r="O371" t="s">
        <v>74</v>
      </c>
      <c r="P371" t="s">
        <v>74</v>
      </c>
      <c r="Q371" t="s">
        <v>74</v>
      </c>
      <c r="R371" t="s">
        <v>74</v>
      </c>
      <c r="S371" t="s">
        <v>74</v>
      </c>
      <c r="T371" t="s">
        <v>5090</v>
      </c>
      <c r="U371" t="s">
        <v>74</v>
      </c>
      <c r="V371" t="s">
        <v>5091</v>
      </c>
      <c r="W371" t="s">
        <v>5092</v>
      </c>
      <c r="X371" t="s">
        <v>5093</v>
      </c>
      <c r="Y371" t="s">
        <v>5094</v>
      </c>
      <c r="Z371" t="s">
        <v>74</v>
      </c>
      <c r="AA371" t="s">
        <v>5095</v>
      </c>
      <c r="AB371" t="s">
        <v>5096</v>
      </c>
      <c r="AC371" t="s">
        <v>74</v>
      </c>
      <c r="AD371" t="s">
        <v>74</v>
      </c>
      <c r="AE371" t="s">
        <v>74</v>
      </c>
      <c r="AF371" t="s">
        <v>74</v>
      </c>
      <c r="AG371">
        <v>25</v>
      </c>
      <c r="AH371">
        <v>31</v>
      </c>
      <c r="AI371">
        <v>31</v>
      </c>
      <c r="AJ371">
        <v>0</v>
      </c>
      <c r="AK371">
        <v>3</v>
      </c>
      <c r="AL371" t="s">
        <v>5097</v>
      </c>
      <c r="AM371" t="s">
        <v>5098</v>
      </c>
      <c r="AN371" t="s">
        <v>5099</v>
      </c>
      <c r="AO371" t="s">
        <v>5100</v>
      </c>
      <c r="AP371" t="s">
        <v>74</v>
      </c>
      <c r="AQ371" t="s">
        <v>74</v>
      </c>
      <c r="AR371" t="s">
        <v>5089</v>
      </c>
      <c r="AS371" t="s">
        <v>5101</v>
      </c>
      <c r="AT371" t="s">
        <v>5102</v>
      </c>
      <c r="AU371">
        <v>1999</v>
      </c>
      <c r="AV371">
        <v>113</v>
      </c>
      <c r="AW371">
        <v>2</v>
      </c>
      <c r="AX371" t="s">
        <v>74</v>
      </c>
      <c r="AY371" t="s">
        <v>74</v>
      </c>
      <c r="AZ371" t="s">
        <v>74</v>
      </c>
      <c r="BA371" t="s">
        <v>74</v>
      </c>
      <c r="BB371">
        <v>56</v>
      </c>
      <c r="BC371">
        <v>63</v>
      </c>
      <c r="BD371" t="s">
        <v>74</v>
      </c>
      <c r="BE371" t="s">
        <v>74</v>
      </c>
      <c r="BF371" t="s">
        <v>74</v>
      </c>
      <c r="BG371" t="s">
        <v>74</v>
      </c>
      <c r="BH371" t="s">
        <v>74</v>
      </c>
      <c r="BI371">
        <v>8</v>
      </c>
      <c r="BJ371" t="s">
        <v>2398</v>
      </c>
      <c r="BK371" t="s">
        <v>96</v>
      </c>
      <c r="BL371" t="s">
        <v>2398</v>
      </c>
      <c r="BM371" t="s">
        <v>5103</v>
      </c>
      <c r="BN371" t="s">
        <v>74</v>
      </c>
      <c r="BO371" t="s">
        <v>74</v>
      </c>
      <c r="BP371" t="s">
        <v>74</v>
      </c>
      <c r="BQ371" t="s">
        <v>74</v>
      </c>
      <c r="BR371" t="s">
        <v>99</v>
      </c>
      <c r="BS371" t="s">
        <v>5104</v>
      </c>
      <c r="BT371" t="str">
        <f>HYPERLINK("https%3A%2F%2Fwww.webofscience.com%2Fwos%2Fwoscc%2Ffull-record%2FWOS:000081602900003","View Full Record in Web of Science")</f>
        <v>View Full Record in Web of Science</v>
      </c>
    </row>
    <row r="372" spans="1:72" x14ac:dyDescent="0.15">
      <c r="A372" t="s">
        <v>72</v>
      </c>
      <c r="B372" t="s">
        <v>5105</v>
      </c>
      <c r="C372" t="s">
        <v>74</v>
      </c>
      <c r="D372" t="s">
        <v>74</v>
      </c>
      <c r="E372" t="s">
        <v>74</v>
      </c>
      <c r="F372" t="s">
        <v>5105</v>
      </c>
      <c r="G372" t="s">
        <v>74</v>
      </c>
      <c r="H372" t="s">
        <v>74</v>
      </c>
      <c r="I372" t="s">
        <v>5106</v>
      </c>
      <c r="J372" t="s">
        <v>458</v>
      </c>
      <c r="K372" t="s">
        <v>74</v>
      </c>
      <c r="L372" t="s">
        <v>74</v>
      </c>
      <c r="M372" t="s">
        <v>77</v>
      </c>
      <c r="N372" t="s">
        <v>78</v>
      </c>
      <c r="O372" t="s">
        <v>74</v>
      </c>
      <c r="P372" t="s">
        <v>74</v>
      </c>
      <c r="Q372" t="s">
        <v>74</v>
      </c>
      <c r="R372" t="s">
        <v>74</v>
      </c>
      <c r="S372" t="s">
        <v>74</v>
      </c>
      <c r="T372" t="s">
        <v>74</v>
      </c>
      <c r="U372" t="s">
        <v>5107</v>
      </c>
      <c r="V372" t="s">
        <v>5108</v>
      </c>
      <c r="W372" t="s">
        <v>5109</v>
      </c>
      <c r="X372" t="s">
        <v>5110</v>
      </c>
      <c r="Y372" t="s">
        <v>5111</v>
      </c>
      <c r="Z372" t="s">
        <v>5112</v>
      </c>
      <c r="AA372" t="s">
        <v>5113</v>
      </c>
      <c r="AB372" t="s">
        <v>74</v>
      </c>
      <c r="AC372" t="s">
        <v>74</v>
      </c>
      <c r="AD372" t="s">
        <v>74</v>
      </c>
      <c r="AE372" t="s">
        <v>74</v>
      </c>
      <c r="AF372" t="s">
        <v>74</v>
      </c>
      <c r="AG372">
        <v>32</v>
      </c>
      <c r="AH372">
        <v>41</v>
      </c>
      <c r="AI372">
        <v>43</v>
      </c>
      <c r="AJ372">
        <v>0</v>
      </c>
      <c r="AK372">
        <v>7</v>
      </c>
      <c r="AL372" t="s">
        <v>230</v>
      </c>
      <c r="AM372" t="s">
        <v>231</v>
      </c>
      <c r="AN372" t="s">
        <v>232</v>
      </c>
      <c r="AO372" t="s">
        <v>465</v>
      </c>
      <c r="AP372" t="s">
        <v>466</v>
      </c>
      <c r="AQ372" t="s">
        <v>74</v>
      </c>
      <c r="AR372" t="s">
        <v>467</v>
      </c>
      <c r="AS372" t="s">
        <v>468</v>
      </c>
      <c r="AT372" t="s">
        <v>5114</v>
      </c>
      <c r="AU372">
        <v>1999</v>
      </c>
      <c r="AV372">
        <v>104</v>
      </c>
      <c r="AW372" t="s">
        <v>5115</v>
      </c>
      <c r="AX372" t="s">
        <v>74</v>
      </c>
      <c r="AY372" t="s">
        <v>74</v>
      </c>
      <c r="AZ372" t="s">
        <v>74</v>
      </c>
      <c r="BA372" t="s">
        <v>74</v>
      </c>
      <c r="BB372">
        <v>15281</v>
      </c>
      <c r="BC372">
        <v>15292</v>
      </c>
      <c r="BD372" t="s">
        <v>74</v>
      </c>
      <c r="BE372" t="s">
        <v>5116</v>
      </c>
      <c r="BF372" t="str">
        <f>HYPERLINK("http://dx.doi.org/10.1029/1999JB900122","http://dx.doi.org/10.1029/1999JB900122")</f>
        <v>http://dx.doi.org/10.1029/1999JB900122</v>
      </c>
      <c r="BG372" t="s">
        <v>74</v>
      </c>
      <c r="BH372" t="s">
        <v>74</v>
      </c>
      <c r="BI372">
        <v>12</v>
      </c>
      <c r="BJ372" t="s">
        <v>216</v>
      </c>
      <c r="BK372" t="s">
        <v>96</v>
      </c>
      <c r="BL372" t="s">
        <v>216</v>
      </c>
      <c r="BM372" t="s">
        <v>5117</v>
      </c>
      <c r="BN372" t="s">
        <v>74</v>
      </c>
      <c r="BO372" t="s">
        <v>2755</v>
      </c>
      <c r="BP372" t="s">
        <v>74</v>
      </c>
      <c r="BQ372" t="s">
        <v>74</v>
      </c>
      <c r="BR372" t="s">
        <v>99</v>
      </c>
      <c r="BS372" t="s">
        <v>5118</v>
      </c>
      <c r="BT372" t="str">
        <f>HYPERLINK("https%3A%2F%2Fwww.webofscience.com%2Fwos%2Fwoscc%2Ffull-record%2FWOS:000081378800020","View Full Record in Web of Science")</f>
        <v>View Full Record in Web of Science</v>
      </c>
    </row>
    <row r="373" spans="1:72" x14ac:dyDescent="0.15">
      <c r="A373" t="s">
        <v>72</v>
      </c>
      <c r="B373" t="s">
        <v>5119</v>
      </c>
      <c r="C373" t="s">
        <v>74</v>
      </c>
      <c r="D373" t="s">
        <v>74</v>
      </c>
      <c r="E373" t="s">
        <v>74</v>
      </c>
      <c r="F373" t="s">
        <v>5119</v>
      </c>
      <c r="G373" t="s">
        <v>74</v>
      </c>
      <c r="H373" t="s">
        <v>74</v>
      </c>
      <c r="I373" t="s">
        <v>5120</v>
      </c>
      <c r="J373" t="s">
        <v>1794</v>
      </c>
      <c r="K373" t="s">
        <v>74</v>
      </c>
      <c r="L373" t="s">
        <v>74</v>
      </c>
      <c r="M373" t="s">
        <v>77</v>
      </c>
      <c r="N373" t="s">
        <v>78</v>
      </c>
      <c r="O373" t="s">
        <v>74</v>
      </c>
      <c r="P373" t="s">
        <v>74</v>
      </c>
      <c r="Q373" t="s">
        <v>74</v>
      </c>
      <c r="R373" t="s">
        <v>74</v>
      </c>
      <c r="S373" t="s">
        <v>74</v>
      </c>
      <c r="T373" t="s">
        <v>74</v>
      </c>
      <c r="U373" t="s">
        <v>5121</v>
      </c>
      <c r="V373" t="s">
        <v>5122</v>
      </c>
      <c r="W373" t="s">
        <v>5123</v>
      </c>
      <c r="X373" t="s">
        <v>5124</v>
      </c>
      <c r="Y373" t="s">
        <v>5125</v>
      </c>
      <c r="Z373" t="s">
        <v>74</v>
      </c>
      <c r="AA373" t="s">
        <v>5126</v>
      </c>
      <c r="AB373" t="s">
        <v>5127</v>
      </c>
      <c r="AC373" t="s">
        <v>74</v>
      </c>
      <c r="AD373" t="s">
        <v>74</v>
      </c>
      <c r="AE373" t="s">
        <v>74</v>
      </c>
      <c r="AF373" t="s">
        <v>74</v>
      </c>
      <c r="AG373">
        <v>27</v>
      </c>
      <c r="AH373">
        <v>227</v>
      </c>
      <c r="AI373">
        <v>256</v>
      </c>
      <c r="AJ373">
        <v>8</v>
      </c>
      <c r="AK373">
        <v>53</v>
      </c>
      <c r="AL373" t="s">
        <v>1802</v>
      </c>
      <c r="AM373" t="s">
        <v>231</v>
      </c>
      <c r="AN373" t="s">
        <v>1803</v>
      </c>
      <c r="AO373" t="s">
        <v>1804</v>
      </c>
      <c r="AP373" t="s">
        <v>74</v>
      </c>
      <c r="AQ373" t="s">
        <v>74</v>
      </c>
      <c r="AR373" t="s">
        <v>1794</v>
      </c>
      <c r="AS373" t="s">
        <v>1805</v>
      </c>
      <c r="AT373" t="s">
        <v>5128</v>
      </c>
      <c r="AU373">
        <v>1999</v>
      </c>
      <c r="AV373">
        <v>285</v>
      </c>
      <c r="AW373">
        <v>5425</v>
      </c>
      <c r="AX373" t="s">
        <v>74</v>
      </c>
      <c r="AY373" t="s">
        <v>74</v>
      </c>
      <c r="AZ373" t="s">
        <v>74</v>
      </c>
      <c r="BA373" t="s">
        <v>74</v>
      </c>
      <c r="BB373">
        <v>239</v>
      </c>
      <c r="BC373">
        <v>242</v>
      </c>
      <c r="BD373" t="s">
        <v>74</v>
      </c>
      <c r="BE373" t="s">
        <v>5129</v>
      </c>
      <c r="BF373" t="str">
        <f>HYPERLINK("http://dx.doi.org/10.1126/science.285.5425.239","http://dx.doi.org/10.1126/science.285.5425.239")</f>
        <v>http://dx.doi.org/10.1126/science.285.5425.239</v>
      </c>
      <c r="BG373" t="s">
        <v>74</v>
      </c>
      <c r="BH373" t="s">
        <v>74</v>
      </c>
      <c r="BI373">
        <v>4</v>
      </c>
      <c r="BJ373" t="s">
        <v>303</v>
      </c>
      <c r="BK373" t="s">
        <v>96</v>
      </c>
      <c r="BL373" t="s">
        <v>304</v>
      </c>
      <c r="BM373" t="s">
        <v>5130</v>
      </c>
      <c r="BN373">
        <v>10398597</v>
      </c>
      <c r="BO373" t="s">
        <v>74</v>
      </c>
      <c r="BP373" t="s">
        <v>74</v>
      </c>
      <c r="BQ373" t="s">
        <v>74</v>
      </c>
      <c r="BR373" t="s">
        <v>99</v>
      </c>
      <c r="BS373" t="s">
        <v>5131</v>
      </c>
      <c r="BT373" t="str">
        <f>HYPERLINK("https%3A%2F%2Fwww.webofscience.com%2Fwos%2Fwoscc%2Ffull-record%2FWOS:000081346000037","View Full Record in Web of Science")</f>
        <v>View Full Record in Web of Science</v>
      </c>
    </row>
    <row r="374" spans="1:72" x14ac:dyDescent="0.15">
      <c r="A374" t="s">
        <v>72</v>
      </c>
      <c r="B374" t="s">
        <v>5132</v>
      </c>
      <c r="C374" t="s">
        <v>74</v>
      </c>
      <c r="D374" t="s">
        <v>74</v>
      </c>
      <c r="E374" t="s">
        <v>74</v>
      </c>
      <c r="F374" t="s">
        <v>5132</v>
      </c>
      <c r="G374" t="s">
        <v>74</v>
      </c>
      <c r="H374" t="s">
        <v>74</v>
      </c>
      <c r="I374" t="s">
        <v>5133</v>
      </c>
      <c r="J374" t="s">
        <v>1835</v>
      </c>
      <c r="K374" t="s">
        <v>74</v>
      </c>
      <c r="L374" t="s">
        <v>74</v>
      </c>
      <c r="M374" t="s">
        <v>77</v>
      </c>
      <c r="N374" t="s">
        <v>78</v>
      </c>
      <c r="O374" t="s">
        <v>74</v>
      </c>
      <c r="P374" t="s">
        <v>74</v>
      </c>
      <c r="Q374" t="s">
        <v>74</v>
      </c>
      <c r="R374" t="s">
        <v>74</v>
      </c>
      <c r="S374" t="s">
        <v>74</v>
      </c>
      <c r="T374" t="s">
        <v>5134</v>
      </c>
      <c r="U374" t="s">
        <v>74</v>
      </c>
      <c r="V374" t="s">
        <v>5135</v>
      </c>
      <c r="W374" t="s">
        <v>1839</v>
      </c>
      <c r="X374" t="s">
        <v>1840</v>
      </c>
      <c r="Y374" t="s">
        <v>5136</v>
      </c>
      <c r="Z374" t="s">
        <v>74</v>
      </c>
      <c r="AA374" t="s">
        <v>74</v>
      </c>
      <c r="AB374" t="s">
        <v>5137</v>
      </c>
      <c r="AC374" t="s">
        <v>74</v>
      </c>
      <c r="AD374" t="s">
        <v>74</v>
      </c>
      <c r="AE374" t="s">
        <v>74</v>
      </c>
      <c r="AF374" t="s">
        <v>74</v>
      </c>
      <c r="AG374">
        <v>13</v>
      </c>
      <c r="AH374">
        <v>5</v>
      </c>
      <c r="AI374">
        <v>11</v>
      </c>
      <c r="AJ374">
        <v>0</v>
      </c>
      <c r="AK374">
        <v>1</v>
      </c>
      <c r="AL374" t="s">
        <v>5138</v>
      </c>
      <c r="AM374" t="s">
        <v>5139</v>
      </c>
      <c r="AN374" t="s">
        <v>5140</v>
      </c>
      <c r="AO374" t="s">
        <v>1845</v>
      </c>
      <c r="AP374" t="s">
        <v>74</v>
      </c>
      <c r="AQ374" t="s">
        <v>74</v>
      </c>
      <c r="AR374" t="s">
        <v>1847</v>
      </c>
      <c r="AS374" t="s">
        <v>1848</v>
      </c>
      <c r="AT374" t="s">
        <v>5141</v>
      </c>
      <c r="AU374">
        <v>1999</v>
      </c>
      <c r="AV374">
        <v>44</v>
      </c>
      <c r="AW374">
        <v>3</v>
      </c>
      <c r="AX374" t="s">
        <v>74</v>
      </c>
      <c r="AY374" t="s">
        <v>74</v>
      </c>
      <c r="AZ374" t="s">
        <v>74</v>
      </c>
      <c r="BA374" t="s">
        <v>74</v>
      </c>
      <c r="BB374">
        <v>188</v>
      </c>
      <c r="BC374">
        <v>192</v>
      </c>
      <c r="BD374" t="s">
        <v>74</v>
      </c>
      <c r="BE374" t="s">
        <v>74</v>
      </c>
      <c r="BF374" t="s">
        <v>74</v>
      </c>
      <c r="BG374" t="s">
        <v>74</v>
      </c>
      <c r="BH374" t="s">
        <v>74</v>
      </c>
      <c r="BI374">
        <v>5</v>
      </c>
      <c r="BJ374" t="s">
        <v>1850</v>
      </c>
      <c r="BK374" t="s">
        <v>96</v>
      </c>
      <c r="BL374" t="s">
        <v>1850</v>
      </c>
      <c r="BM374" t="s">
        <v>5142</v>
      </c>
      <c r="BN374" t="s">
        <v>74</v>
      </c>
      <c r="BO374" t="s">
        <v>74</v>
      </c>
      <c r="BP374" t="s">
        <v>74</v>
      </c>
      <c r="BQ374" t="s">
        <v>74</v>
      </c>
      <c r="BR374" t="s">
        <v>99</v>
      </c>
      <c r="BS374" t="s">
        <v>5143</v>
      </c>
      <c r="BT374" t="str">
        <f>HYPERLINK("https%3A%2F%2Fwww.webofscience.com%2Fwos%2Fwoscc%2Ffull-record%2FWOS:000083350800008","View Full Record in Web of Science")</f>
        <v>View Full Record in Web of Science</v>
      </c>
    </row>
    <row r="375" spans="1:72" x14ac:dyDescent="0.15">
      <c r="A375" t="s">
        <v>72</v>
      </c>
      <c r="B375" t="s">
        <v>5144</v>
      </c>
      <c r="C375" t="s">
        <v>74</v>
      </c>
      <c r="D375" t="s">
        <v>74</v>
      </c>
      <c r="E375" t="s">
        <v>74</v>
      </c>
      <c r="F375" t="s">
        <v>5144</v>
      </c>
      <c r="G375" t="s">
        <v>74</v>
      </c>
      <c r="H375" t="s">
        <v>74</v>
      </c>
      <c r="I375" t="s">
        <v>5145</v>
      </c>
      <c r="J375" t="s">
        <v>544</v>
      </c>
      <c r="K375" t="s">
        <v>74</v>
      </c>
      <c r="L375" t="s">
        <v>74</v>
      </c>
      <c r="M375" t="s">
        <v>77</v>
      </c>
      <c r="N375" t="s">
        <v>78</v>
      </c>
      <c r="O375" t="s">
        <v>74</v>
      </c>
      <c r="P375" t="s">
        <v>74</v>
      </c>
      <c r="Q375" t="s">
        <v>74</v>
      </c>
      <c r="R375" t="s">
        <v>74</v>
      </c>
      <c r="S375" t="s">
        <v>74</v>
      </c>
      <c r="T375" t="s">
        <v>5146</v>
      </c>
      <c r="U375" t="s">
        <v>5147</v>
      </c>
      <c r="V375" t="s">
        <v>5148</v>
      </c>
      <c r="W375" t="s">
        <v>5149</v>
      </c>
      <c r="X375" t="s">
        <v>2855</v>
      </c>
      <c r="Y375" t="s">
        <v>5150</v>
      </c>
      <c r="Z375" t="s">
        <v>74</v>
      </c>
      <c r="AA375" t="s">
        <v>5151</v>
      </c>
      <c r="AB375" t="s">
        <v>5152</v>
      </c>
      <c r="AC375" t="s">
        <v>74</v>
      </c>
      <c r="AD375" t="s">
        <v>74</v>
      </c>
      <c r="AE375" t="s">
        <v>74</v>
      </c>
      <c r="AF375" t="s">
        <v>74</v>
      </c>
      <c r="AG375">
        <v>39</v>
      </c>
      <c r="AH375">
        <v>4</v>
      </c>
      <c r="AI375">
        <v>4</v>
      </c>
      <c r="AJ375">
        <v>0</v>
      </c>
      <c r="AK375">
        <v>2</v>
      </c>
      <c r="AL375" t="s">
        <v>553</v>
      </c>
      <c r="AM375" t="s">
        <v>554</v>
      </c>
      <c r="AN375" t="s">
        <v>555</v>
      </c>
      <c r="AO375" t="s">
        <v>556</v>
      </c>
      <c r="AP375" t="s">
        <v>74</v>
      </c>
      <c r="AQ375" t="s">
        <v>74</v>
      </c>
      <c r="AR375" t="s">
        <v>557</v>
      </c>
      <c r="AS375" t="s">
        <v>558</v>
      </c>
      <c r="AT375" t="s">
        <v>5141</v>
      </c>
      <c r="AU375">
        <v>1999</v>
      </c>
      <c r="AV375">
        <v>17</v>
      </c>
      <c r="AW375">
        <v>7</v>
      </c>
      <c r="AX375" t="s">
        <v>74</v>
      </c>
      <c r="AY375" t="s">
        <v>74</v>
      </c>
      <c r="AZ375" t="s">
        <v>74</v>
      </c>
      <c r="BA375" t="s">
        <v>74</v>
      </c>
      <c r="BB375">
        <v>971</v>
      </c>
      <c r="BC375">
        <v>982</v>
      </c>
      <c r="BD375" t="s">
        <v>74</v>
      </c>
      <c r="BE375" t="s">
        <v>5153</v>
      </c>
      <c r="BF375" t="str">
        <f>HYPERLINK("http://dx.doi.org/10.1007/s005850050824","http://dx.doi.org/10.1007/s005850050824")</f>
        <v>http://dx.doi.org/10.1007/s005850050824</v>
      </c>
      <c r="BG375" t="s">
        <v>74</v>
      </c>
      <c r="BH375" t="s">
        <v>74</v>
      </c>
      <c r="BI375">
        <v>12</v>
      </c>
      <c r="BJ375" t="s">
        <v>560</v>
      </c>
      <c r="BK375" t="s">
        <v>96</v>
      </c>
      <c r="BL375" t="s">
        <v>561</v>
      </c>
      <c r="BM375" t="s">
        <v>5154</v>
      </c>
      <c r="BN375" t="s">
        <v>74</v>
      </c>
      <c r="BO375" t="s">
        <v>5155</v>
      </c>
      <c r="BP375" t="s">
        <v>74</v>
      </c>
      <c r="BQ375" t="s">
        <v>74</v>
      </c>
      <c r="BR375" t="s">
        <v>99</v>
      </c>
      <c r="BS375" t="s">
        <v>5156</v>
      </c>
      <c r="BT375" t="str">
        <f>HYPERLINK("https%3A%2F%2Fwww.webofscience.com%2Fwos%2Fwoscc%2Ffull-record%2FWOS:000081648000012","View Full Record in Web of Science")</f>
        <v>View Full Record in Web of Science</v>
      </c>
    </row>
    <row r="376" spans="1:72" x14ac:dyDescent="0.15">
      <c r="A376" t="s">
        <v>72</v>
      </c>
      <c r="B376" t="s">
        <v>5157</v>
      </c>
      <c r="C376" t="s">
        <v>74</v>
      </c>
      <c r="D376" t="s">
        <v>74</v>
      </c>
      <c r="E376" t="s">
        <v>74</v>
      </c>
      <c r="F376" t="s">
        <v>5157</v>
      </c>
      <c r="G376" t="s">
        <v>74</v>
      </c>
      <c r="H376" t="s">
        <v>74</v>
      </c>
      <c r="I376" t="s">
        <v>5158</v>
      </c>
      <c r="J376" t="s">
        <v>5159</v>
      </c>
      <c r="K376" t="s">
        <v>74</v>
      </c>
      <c r="L376" t="s">
        <v>74</v>
      </c>
      <c r="M376" t="s">
        <v>77</v>
      </c>
      <c r="N376" t="s">
        <v>78</v>
      </c>
      <c r="O376" t="s">
        <v>74</v>
      </c>
      <c r="P376" t="s">
        <v>74</v>
      </c>
      <c r="Q376" t="s">
        <v>74</v>
      </c>
      <c r="R376" t="s">
        <v>74</v>
      </c>
      <c r="S376" t="s">
        <v>74</v>
      </c>
      <c r="T376" t="s">
        <v>74</v>
      </c>
      <c r="U376" t="s">
        <v>5160</v>
      </c>
      <c r="V376" t="s">
        <v>5161</v>
      </c>
      <c r="W376" t="s">
        <v>5162</v>
      </c>
      <c r="X376" t="s">
        <v>5163</v>
      </c>
      <c r="Y376" t="s">
        <v>5164</v>
      </c>
      <c r="Z376" t="s">
        <v>74</v>
      </c>
      <c r="AA376" t="s">
        <v>5165</v>
      </c>
      <c r="AB376" t="s">
        <v>5166</v>
      </c>
      <c r="AC376" t="s">
        <v>74</v>
      </c>
      <c r="AD376" t="s">
        <v>74</v>
      </c>
      <c r="AE376" t="s">
        <v>74</v>
      </c>
      <c r="AF376" t="s">
        <v>74</v>
      </c>
      <c r="AG376">
        <v>16</v>
      </c>
      <c r="AH376">
        <v>2</v>
      </c>
      <c r="AI376">
        <v>2</v>
      </c>
      <c r="AJ376">
        <v>0</v>
      </c>
      <c r="AK376">
        <v>1</v>
      </c>
      <c r="AL376" t="s">
        <v>5167</v>
      </c>
      <c r="AM376" t="s">
        <v>5168</v>
      </c>
      <c r="AN376" t="s">
        <v>5169</v>
      </c>
      <c r="AO376" t="s">
        <v>5170</v>
      </c>
      <c r="AP376" t="s">
        <v>74</v>
      </c>
      <c r="AQ376" t="s">
        <v>74</v>
      </c>
      <c r="AR376" t="s">
        <v>5171</v>
      </c>
      <c r="AS376" t="s">
        <v>5172</v>
      </c>
      <c r="AT376" t="s">
        <v>5173</v>
      </c>
      <c r="AU376">
        <v>1999</v>
      </c>
      <c r="AV376">
        <v>89</v>
      </c>
      <c r="AW376" t="s">
        <v>5174</v>
      </c>
      <c r="AX376" t="s">
        <v>74</v>
      </c>
      <c r="AY376" t="s">
        <v>74</v>
      </c>
      <c r="AZ376" t="s">
        <v>74</v>
      </c>
      <c r="BA376" t="s">
        <v>74</v>
      </c>
      <c r="BB376">
        <v>591</v>
      </c>
      <c r="BC376">
        <v>600</v>
      </c>
      <c r="BD376" t="s">
        <v>74</v>
      </c>
      <c r="BE376" t="s">
        <v>74</v>
      </c>
      <c r="BF376" t="s">
        <v>74</v>
      </c>
      <c r="BG376" t="s">
        <v>74</v>
      </c>
      <c r="BH376" t="s">
        <v>74</v>
      </c>
      <c r="BI376">
        <v>10</v>
      </c>
      <c r="BJ376" t="s">
        <v>5175</v>
      </c>
      <c r="BK376" t="s">
        <v>96</v>
      </c>
      <c r="BL376" t="s">
        <v>5176</v>
      </c>
      <c r="BM376" t="s">
        <v>5177</v>
      </c>
      <c r="BN376" t="s">
        <v>74</v>
      </c>
      <c r="BO376" t="s">
        <v>74</v>
      </c>
      <c r="BP376" t="s">
        <v>74</v>
      </c>
      <c r="BQ376" t="s">
        <v>74</v>
      </c>
      <c r="BR376" t="s">
        <v>99</v>
      </c>
      <c r="BS376" t="s">
        <v>5178</v>
      </c>
      <c r="BT376" t="str">
        <f>HYPERLINK("https%3A%2F%2Fwww.webofscience.com%2Fwos%2Fwoscc%2Ffull-record%2FWOS:000081109300015","View Full Record in Web of Science")</f>
        <v>View Full Record in Web of Science</v>
      </c>
    </row>
    <row r="377" spans="1:72" x14ac:dyDescent="0.15">
      <c r="A377" t="s">
        <v>72</v>
      </c>
      <c r="B377" t="s">
        <v>5179</v>
      </c>
      <c r="C377" t="s">
        <v>74</v>
      </c>
      <c r="D377" t="s">
        <v>74</v>
      </c>
      <c r="E377" t="s">
        <v>74</v>
      </c>
      <c r="F377" t="s">
        <v>5179</v>
      </c>
      <c r="G377" t="s">
        <v>74</v>
      </c>
      <c r="H377" t="s">
        <v>74</v>
      </c>
      <c r="I377" t="s">
        <v>5180</v>
      </c>
      <c r="J377" t="s">
        <v>5181</v>
      </c>
      <c r="K377" t="s">
        <v>74</v>
      </c>
      <c r="L377" t="s">
        <v>74</v>
      </c>
      <c r="M377" t="s">
        <v>77</v>
      </c>
      <c r="N377" t="s">
        <v>78</v>
      </c>
      <c r="O377" t="s">
        <v>74</v>
      </c>
      <c r="P377" t="s">
        <v>74</v>
      </c>
      <c r="Q377" t="s">
        <v>74</v>
      </c>
      <c r="R377" t="s">
        <v>74</v>
      </c>
      <c r="S377" t="s">
        <v>74</v>
      </c>
      <c r="T377" t="s">
        <v>5182</v>
      </c>
      <c r="U377" t="s">
        <v>74</v>
      </c>
      <c r="V377" t="s">
        <v>5183</v>
      </c>
      <c r="W377" t="s">
        <v>5184</v>
      </c>
      <c r="X377" t="s">
        <v>2500</v>
      </c>
      <c r="Y377" t="s">
        <v>5185</v>
      </c>
      <c r="Z377" t="s">
        <v>74</v>
      </c>
      <c r="AA377" t="s">
        <v>74</v>
      </c>
      <c r="AB377" t="s">
        <v>74</v>
      </c>
      <c r="AC377" t="s">
        <v>74</v>
      </c>
      <c r="AD377" t="s">
        <v>74</v>
      </c>
      <c r="AE377" t="s">
        <v>74</v>
      </c>
      <c r="AF377" t="s">
        <v>74</v>
      </c>
      <c r="AG377">
        <v>46</v>
      </c>
      <c r="AH377">
        <v>25</v>
      </c>
      <c r="AI377">
        <v>26</v>
      </c>
      <c r="AJ377">
        <v>0</v>
      </c>
      <c r="AK377">
        <v>5</v>
      </c>
      <c r="AL377" t="s">
        <v>275</v>
      </c>
      <c r="AM377" t="s">
        <v>276</v>
      </c>
      <c r="AN377" t="s">
        <v>277</v>
      </c>
      <c r="AO377" t="s">
        <v>5186</v>
      </c>
      <c r="AP377" t="s">
        <v>74</v>
      </c>
      <c r="AQ377" t="s">
        <v>74</v>
      </c>
      <c r="AR377" t="s">
        <v>5187</v>
      </c>
      <c r="AS377" t="s">
        <v>5188</v>
      </c>
      <c r="AT377" t="s">
        <v>5141</v>
      </c>
      <c r="AU377">
        <v>1999</v>
      </c>
      <c r="AV377">
        <v>26</v>
      </c>
      <c r="AW377">
        <v>3</v>
      </c>
      <c r="AX377" t="s">
        <v>74</v>
      </c>
      <c r="AY377" t="s">
        <v>74</v>
      </c>
      <c r="AZ377" t="s">
        <v>74</v>
      </c>
      <c r="BA377" t="s">
        <v>74</v>
      </c>
      <c r="BB377">
        <v>516</v>
      </c>
      <c r="BC377">
        <v>533</v>
      </c>
      <c r="BD377" t="s">
        <v>74</v>
      </c>
      <c r="BE377" t="s">
        <v>5189</v>
      </c>
      <c r="BF377" t="str">
        <f>HYPERLINK("http://dx.doi.org/10.1016/S0160-7383(98)00106-6","http://dx.doi.org/10.1016/S0160-7383(98)00106-6")</f>
        <v>http://dx.doi.org/10.1016/S0160-7383(98)00106-6</v>
      </c>
      <c r="BG377" t="s">
        <v>74</v>
      </c>
      <c r="BH377" t="s">
        <v>74</v>
      </c>
      <c r="BI377">
        <v>18</v>
      </c>
      <c r="BJ377" t="s">
        <v>5190</v>
      </c>
      <c r="BK377" t="s">
        <v>1194</v>
      </c>
      <c r="BL377" t="s">
        <v>5191</v>
      </c>
      <c r="BM377" t="s">
        <v>5192</v>
      </c>
      <c r="BN377" t="s">
        <v>74</v>
      </c>
      <c r="BO377" t="s">
        <v>74</v>
      </c>
      <c r="BP377" t="s">
        <v>74</v>
      </c>
      <c r="BQ377" t="s">
        <v>74</v>
      </c>
      <c r="BR377" t="s">
        <v>99</v>
      </c>
      <c r="BS377" t="s">
        <v>5193</v>
      </c>
      <c r="BT377" t="str">
        <f>HYPERLINK("https%3A%2F%2Fwww.webofscience.com%2Fwos%2Fwoscc%2Ffull-record%2FWOS:000082104100002","View Full Record in Web of Science")</f>
        <v>View Full Record in Web of Science</v>
      </c>
    </row>
    <row r="378" spans="1:72" x14ac:dyDescent="0.15">
      <c r="A378" t="s">
        <v>72</v>
      </c>
      <c r="B378" t="s">
        <v>5194</v>
      </c>
      <c r="C378" t="s">
        <v>74</v>
      </c>
      <c r="D378" t="s">
        <v>74</v>
      </c>
      <c r="E378" t="s">
        <v>74</v>
      </c>
      <c r="F378" t="s">
        <v>5194</v>
      </c>
      <c r="G378" t="s">
        <v>74</v>
      </c>
      <c r="H378" t="s">
        <v>74</v>
      </c>
      <c r="I378" t="s">
        <v>5195</v>
      </c>
      <c r="J378" t="s">
        <v>5196</v>
      </c>
      <c r="K378" t="s">
        <v>74</v>
      </c>
      <c r="L378" t="s">
        <v>74</v>
      </c>
      <c r="M378" t="s">
        <v>77</v>
      </c>
      <c r="N378" t="s">
        <v>78</v>
      </c>
      <c r="O378" t="s">
        <v>74</v>
      </c>
      <c r="P378" t="s">
        <v>74</v>
      </c>
      <c r="Q378" t="s">
        <v>74</v>
      </c>
      <c r="R378" t="s">
        <v>74</v>
      </c>
      <c r="S378" t="s">
        <v>74</v>
      </c>
      <c r="T378" t="s">
        <v>74</v>
      </c>
      <c r="U378" t="s">
        <v>5197</v>
      </c>
      <c r="V378" t="s">
        <v>5198</v>
      </c>
      <c r="W378" t="s">
        <v>5199</v>
      </c>
      <c r="X378" t="s">
        <v>5200</v>
      </c>
      <c r="Y378" t="s">
        <v>74</v>
      </c>
      <c r="Z378" t="s">
        <v>74</v>
      </c>
      <c r="AA378" t="s">
        <v>74</v>
      </c>
      <c r="AB378" t="s">
        <v>74</v>
      </c>
      <c r="AC378" t="s">
        <v>74</v>
      </c>
      <c r="AD378" t="s">
        <v>74</v>
      </c>
      <c r="AE378" t="s">
        <v>74</v>
      </c>
      <c r="AF378" t="s">
        <v>74</v>
      </c>
      <c r="AG378">
        <v>89</v>
      </c>
      <c r="AH378">
        <v>1</v>
      </c>
      <c r="AI378">
        <v>4</v>
      </c>
      <c r="AJ378">
        <v>0</v>
      </c>
      <c r="AK378">
        <v>5</v>
      </c>
      <c r="AL378" t="s">
        <v>3186</v>
      </c>
      <c r="AM378" t="s">
        <v>554</v>
      </c>
      <c r="AN378" t="s">
        <v>3187</v>
      </c>
      <c r="AO378" t="s">
        <v>5201</v>
      </c>
      <c r="AP378" t="s">
        <v>74</v>
      </c>
      <c r="AQ378" t="s">
        <v>74</v>
      </c>
      <c r="AR378" t="s">
        <v>5202</v>
      </c>
      <c r="AS378" t="s">
        <v>5203</v>
      </c>
      <c r="AT378" t="s">
        <v>5173</v>
      </c>
      <c r="AU378">
        <v>1999</v>
      </c>
      <c r="AV378">
        <v>35</v>
      </c>
      <c r="AW378">
        <v>4</v>
      </c>
      <c r="AX378" t="s">
        <v>74</v>
      </c>
      <c r="AY378" t="s">
        <v>74</v>
      </c>
      <c r="AZ378" t="s">
        <v>74</v>
      </c>
      <c r="BA378" t="s">
        <v>74</v>
      </c>
      <c r="BB378">
        <v>331</v>
      </c>
      <c r="BC378">
        <v>340</v>
      </c>
      <c r="BD378" t="s">
        <v>74</v>
      </c>
      <c r="BE378" t="s">
        <v>74</v>
      </c>
      <c r="BF378" t="s">
        <v>74</v>
      </c>
      <c r="BG378" t="s">
        <v>74</v>
      </c>
      <c r="BH378" t="s">
        <v>74</v>
      </c>
      <c r="BI378">
        <v>10</v>
      </c>
      <c r="BJ378" t="s">
        <v>3109</v>
      </c>
      <c r="BK378" t="s">
        <v>96</v>
      </c>
      <c r="BL378" t="s">
        <v>3109</v>
      </c>
      <c r="BM378" t="s">
        <v>5204</v>
      </c>
      <c r="BN378" t="s">
        <v>74</v>
      </c>
      <c r="BO378" t="s">
        <v>74</v>
      </c>
      <c r="BP378" t="s">
        <v>74</v>
      </c>
      <c r="BQ378" t="s">
        <v>74</v>
      </c>
      <c r="BR378" t="s">
        <v>99</v>
      </c>
      <c r="BS378" t="s">
        <v>5205</v>
      </c>
      <c r="BT378" t="str">
        <f>HYPERLINK("https%3A%2F%2Fwww.webofscience.com%2Fwos%2Fwoscc%2Ffull-record%2FWOS:000081344700001","View Full Record in Web of Science")</f>
        <v>View Full Record in Web of Science</v>
      </c>
    </row>
    <row r="379" spans="1:72" x14ac:dyDescent="0.15">
      <c r="A379" t="s">
        <v>72</v>
      </c>
      <c r="B379" t="s">
        <v>5206</v>
      </c>
      <c r="C379" t="s">
        <v>74</v>
      </c>
      <c r="D379" t="s">
        <v>74</v>
      </c>
      <c r="E379" t="s">
        <v>74</v>
      </c>
      <c r="F379" t="s">
        <v>5206</v>
      </c>
      <c r="G379" t="s">
        <v>74</v>
      </c>
      <c r="H379" t="s">
        <v>74</v>
      </c>
      <c r="I379" t="s">
        <v>5207</v>
      </c>
      <c r="J379" t="s">
        <v>5208</v>
      </c>
      <c r="K379" t="s">
        <v>74</v>
      </c>
      <c r="L379" t="s">
        <v>74</v>
      </c>
      <c r="M379" t="s">
        <v>77</v>
      </c>
      <c r="N379" t="s">
        <v>78</v>
      </c>
      <c r="O379" t="s">
        <v>74</v>
      </c>
      <c r="P379" t="s">
        <v>74</v>
      </c>
      <c r="Q379" t="s">
        <v>74</v>
      </c>
      <c r="R379" t="s">
        <v>74</v>
      </c>
      <c r="S379" t="s">
        <v>74</v>
      </c>
      <c r="T379" t="s">
        <v>5209</v>
      </c>
      <c r="U379" t="s">
        <v>5210</v>
      </c>
      <c r="V379" t="s">
        <v>5211</v>
      </c>
      <c r="W379" t="s">
        <v>5212</v>
      </c>
      <c r="X379" t="s">
        <v>5213</v>
      </c>
      <c r="Y379" t="s">
        <v>5214</v>
      </c>
      <c r="Z379" t="s">
        <v>5215</v>
      </c>
      <c r="AA379" t="s">
        <v>74</v>
      </c>
      <c r="AB379" t="s">
        <v>74</v>
      </c>
      <c r="AC379" t="s">
        <v>74</v>
      </c>
      <c r="AD379" t="s">
        <v>74</v>
      </c>
      <c r="AE379" t="s">
        <v>74</v>
      </c>
      <c r="AF379" t="s">
        <v>74</v>
      </c>
      <c r="AG379">
        <v>73</v>
      </c>
      <c r="AH379">
        <v>19</v>
      </c>
      <c r="AI379">
        <v>22</v>
      </c>
      <c r="AJ379">
        <v>1</v>
      </c>
      <c r="AK379">
        <v>11</v>
      </c>
      <c r="AL379" t="s">
        <v>5216</v>
      </c>
      <c r="AM379" t="s">
        <v>1646</v>
      </c>
      <c r="AN379" t="s">
        <v>5217</v>
      </c>
      <c r="AO379" t="s">
        <v>5218</v>
      </c>
      <c r="AP379" t="s">
        <v>5219</v>
      </c>
      <c r="AQ379" t="s">
        <v>74</v>
      </c>
      <c r="AR379" t="s">
        <v>5220</v>
      </c>
      <c r="AS379" t="s">
        <v>5221</v>
      </c>
      <c r="AT379" t="s">
        <v>5141</v>
      </c>
      <c r="AU379">
        <v>1999</v>
      </c>
      <c r="AV379">
        <v>30</v>
      </c>
      <c r="AW379">
        <v>2</v>
      </c>
      <c r="AX379" t="s">
        <v>74</v>
      </c>
      <c r="AY379" t="s">
        <v>74</v>
      </c>
      <c r="AZ379" t="s">
        <v>74</v>
      </c>
      <c r="BA379" t="s">
        <v>74</v>
      </c>
      <c r="BB379">
        <v>159</v>
      </c>
      <c r="BC379">
        <v>195</v>
      </c>
      <c r="BD379" t="s">
        <v>74</v>
      </c>
      <c r="BE379" t="s">
        <v>5222</v>
      </c>
      <c r="BF379" t="str">
        <f>HYPERLINK("http://dx.doi.org/10.1080/00049189993693","http://dx.doi.org/10.1080/00049189993693")</f>
        <v>http://dx.doi.org/10.1080/00049189993693</v>
      </c>
      <c r="BG379" t="s">
        <v>74</v>
      </c>
      <c r="BH379" t="s">
        <v>74</v>
      </c>
      <c r="BI379">
        <v>37</v>
      </c>
      <c r="BJ379" t="s">
        <v>5223</v>
      </c>
      <c r="BK379" t="s">
        <v>1194</v>
      </c>
      <c r="BL379" t="s">
        <v>5223</v>
      </c>
      <c r="BM379" t="s">
        <v>5224</v>
      </c>
      <c r="BN379" t="s">
        <v>74</v>
      </c>
      <c r="BO379" t="s">
        <v>610</v>
      </c>
      <c r="BP379" t="s">
        <v>74</v>
      </c>
      <c r="BQ379" t="s">
        <v>74</v>
      </c>
      <c r="BR379" t="s">
        <v>99</v>
      </c>
      <c r="BS379" t="s">
        <v>5225</v>
      </c>
      <c r="BT379" t="str">
        <f>HYPERLINK("https%3A%2F%2Fwww.webofscience.com%2Fwos%2Fwoscc%2Ffull-record%2FWOS:000083008700002","View Full Record in Web of Science")</f>
        <v>View Full Record in Web of Science</v>
      </c>
    </row>
    <row r="380" spans="1:72" x14ac:dyDescent="0.15">
      <c r="A380" t="s">
        <v>72</v>
      </c>
      <c r="B380" t="s">
        <v>5226</v>
      </c>
      <c r="C380" t="s">
        <v>74</v>
      </c>
      <c r="D380" t="s">
        <v>74</v>
      </c>
      <c r="E380" t="s">
        <v>74</v>
      </c>
      <c r="F380" t="s">
        <v>5226</v>
      </c>
      <c r="G380" t="s">
        <v>74</v>
      </c>
      <c r="H380" t="s">
        <v>74</v>
      </c>
      <c r="I380" t="s">
        <v>5227</v>
      </c>
      <c r="J380" t="s">
        <v>5228</v>
      </c>
      <c r="K380" t="s">
        <v>74</v>
      </c>
      <c r="L380" t="s">
        <v>74</v>
      </c>
      <c r="M380" t="s">
        <v>77</v>
      </c>
      <c r="N380" t="s">
        <v>78</v>
      </c>
      <c r="O380" t="s">
        <v>74</v>
      </c>
      <c r="P380" t="s">
        <v>74</v>
      </c>
      <c r="Q380" t="s">
        <v>74</v>
      </c>
      <c r="R380" t="s">
        <v>74</v>
      </c>
      <c r="S380" t="s">
        <v>74</v>
      </c>
      <c r="T380" t="s">
        <v>74</v>
      </c>
      <c r="U380" t="s">
        <v>74</v>
      </c>
      <c r="V380" t="s">
        <v>74</v>
      </c>
      <c r="W380" t="s">
        <v>5229</v>
      </c>
      <c r="X380" t="s">
        <v>5230</v>
      </c>
      <c r="Y380" t="s">
        <v>5231</v>
      </c>
      <c r="Z380" t="s">
        <v>74</v>
      </c>
      <c r="AA380" t="s">
        <v>74</v>
      </c>
      <c r="AB380" t="s">
        <v>74</v>
      </c>
      <c r="AC380" t="s">
        <v>74</v>
      </c>
      <c r="AD380" t="s">
        <v>74</v>
      </c>
      <c r="AE380" t="s">
        <v>74</v>
      </c>
      <c r="AF380" t="s">
        <v>74</v>
      </c>
      <c r="AG380">
        <v>14</v>
      </c>
      <c r="AH380">
        <v>6</v>
      </c>
      <c r="AI380">
        <v>6</v>
      </c>
      <c r="AJ380">
        <v>0</v>
      </c>
      <c r="AK380">
        <v>1</v>
      </c>
      <c r="AL380" t="s">
        <v>5232</v>
      </c>
      <c r="AM380" t="s">
        <v>5233</v>
      </c>
      <c r="AN380" t="s">
        <v>5234</v>
      </c>
      <c r="AO380" t="s">
        <v>5235</v>
      </c>
      <c r="AP380" t="s">
        <v>74</v>
      </c>
      <c r="AQ380" t="s">
        <v>74</v>
      </c>
      <c r="AR380" t="s">
        <v>5236</v>
      </c>
      <c r="AS380" t="s">
        <v>5237</v>
      </c>
      <c r="AT380" t="s">
        <v>5141</v>
      </c>
      <c r="AU380">
        <v>1999</v>
      </c>
      <c r="AV380">
        <v>53</v>
      </c>
      <c r="AW380">
        <v>2</v>
      </c>
      <c r="AX380" t="s">
        <v>74</v>
      </c>
      <c r="AY380" t="s">
        <v>74</v>
      </c>
      <c r="AZ380" t="s">
        <v>74</v>
      </c>
      <c r="BA380" t="s">
        <v>74</v>
      </c>
      <c r="BB380">
        <v>179</v>
      </c>
      <c r="BC380">
        <v>192</v>
      </c>
      <c r="BD380" t="s">
        <v>74</v>
      </c>
      <c r="BE380" t="s">
        <v>5238</v>
      </c>
      <c r="BF380" t="str">
        <f>HYPERLINK("http://dx.doi.org/10.1080/00049919993953","http://dx.doi.org/10.1080/00049919993953")</f>
        <v>http://dx.doi.org/10.1080/00049919993953</v>
      </c>
      <c r="BG380" t="s">
        <v>74</v>
      </c>
      <c r="BH380" t="s">
        <v>74</v>
      </c>
      <c r="BI380">
        <v>14</v>
      </c>
      <c r="BJ380" t="s">
        <v>5239</v>
      </c>
      <c r="BK380" t="s">
        <v>1194</v>
      </c>
      <c r="BL380" t="s">
        <v>5239</v>
      </c>
      <c r="BM380" t="s">
        <v>5240</v>
      </c>
      <c r="BN380" t="s">
        <v>74</v>
      </c>
      <c r="BO380" t="s">
        <v>74</v>
      </c>
      <c r="BP380" t="s">
        <v>74</v>
      </c>
      <c r="BQ380" t="s">
        <v>74</v>
      </c>
      <c r="BR380" t="s">
        <v>99</v>
      </c>
      <c r="BS380" t="s">
        <v>5241</v>
      </c>
      <c r="BT380" t="str">
        <f>HYPERLINK("https%3A%2F%2Fwww.webofscience.com%2Fwos%2Fwoscc%2Ffull-record%2FWOS:000081608000004","View Full Record in Web of Science")</f>
        <v>View Full Record in Web of Science</v>
      </c>
    </row>
    <row r="381" spans="1:72" x14ac:dyDescent="0.15">
      <c r="A381" t="s">
        <v>72</v>
      </c>
      <c r="B381" t="s">
        <v>5242</v>
      </c>
      <c r="C381" t="s">
        <v>74</v>
      </c>
      <c r="D381" t="s">
        <v>74</v>
      </c>
      <c r="E381" t="s">
        <v>74</v>
      </c>
      <c r="F381" t="s">
        <v>5242</v>
      </c>
      <c r="G381" t="s">
        <v>74</v>
      </c>
      <c r="H381" t="s">
        <v>74</v>
      </c>
      <c r="I381" t="s">
        <v>5243</v>
      </c>
      <c r="J381" t="s">
        <v>5244</v>
      </c>
      <c r="K381" t="s">
        <v>74</v>
      </c>
      <c r="L381" t="s">
        <v>74</v>
      </c>
      <c r="M381" t="s">
        <v>77</v>
      </c>
      <c r="N381" t="s">
        <v>78</v>
      </c>
      <c r="O381" t="s">
        <v>74</v>
      </c>
      <c r="P381" t="s">
        <v>74</v>
      </c>
      <c r="Q381" t="s">
        <v>74</v>
      </c>
      <c r="R381" t="s">
        <v>74</v>
      </c>
      <c r="S381" t="s">
        <v>74</v>
      </c>
      <c r="T381" t="s">
        <v>74</v>
      </c>
      <c r="U381" t="s">
        <v>5245</v>
      </c>
      <c r="V381" t="s">
        <v>5246</v>
      </c>
      <c r="W381" t="s">
        <v>5247</v>
      </c>
      <c r="X381" t="s">
        <v>5248</v>
      </c>
      <c r="Y381" t="s">
        <v>5249</v>
      </c>
      <c r="Z381" t="s">
        <v>74</v>
      </c>
      <c r="AA381" t="s">
        <v>5250</v>
      </c>
      <c r="AB381" t="s">
        <v>5251</v>
      </c>
      <c r="AC381" t="s">
        <v>74</v>
      </c>
      <c r="AD381" t="s">
        <v>74</v>
      </c>
      <c r="AE381" t="s">
        <v>74</v>
      </c>
      <c r="AF381" t="s">
        <v>74</v>
      </c>
      <c r="AG381">
        <v>25</v>
      </c>
      <c r="AH381">
        <v>50</v>
      </c>
      <c r="AI381">
        <v>52</v>
      </c>
      <c r="AJ381">
        <v>0</v>
      </c>
      <c r="AK381">
        <v>13</v>
      </c>
      <c r="AL381" t="s">
        <v>5252</v>
      </c>
      <c r="AM381" t="s">
        <v>2206</v>
      </c>
      <c r="AN381" t="s">
        <v>5253</v>
      </c>
      <c r="AO381" t="s">
        <v>5254</v>
      </c>
      <c r="AP381" t="s">
        <v>5255</v>
      </c>
      <c r="AQ381" t="s">
        <v>74</v>
      </c>
      <c r="AR381" t="s">
        <v>5256</v>
      </c>
      <c r="AS381" t="s">
        <v>5257</v>
      </c>
      <c r="AT381" t="s">
        <v>5141</v>
      </c>
      <c r="AU381">
        <v>1999</v>
      </c>
      <c r="AV381">
        <v>42</v>
      </c>
      <c r="AW381">
        <v>4</v>
      </c>
      <c r="AX381" t="s">
        <v>74</v>
      </c>
      <c r="AY381" t="s">
        <v>74</v>
      </c>
      <c r="AZ381" t="s">
        <v>74</v>
      </c>
      <c r="BA381" t="s">
        <v>74</v>
      </c>
      <c r="BB381">
        <v>401</v>
      </c>
      <c r="BC381">
        <v>407</v>
      </c>
      <c r="BD381" t="s">
        <v>74</v>
      </c>
      <c r="BE381" t="s">
        <v>5258</v>
      </c>
      <c r="BF381" t="str">
        <f>HYPERLINK("http://dx.doi.org/10.1515/BOT.1999.046","http://dx.doi.org/10.1515/BOT.1999.046")</f>
        <v>http://dx.doi.org/10.1515/BOT.1999.046</v>
      </c>
      <c r="BG381" t="s">
        <v>74</v>
      </c>
      <c r="BH381" t="s">
        <v>74</v>
      </c>
      <c r="BI381">
        <v>7</v>
      </c>
      <c r="BJ381" t="s">
        <v>2033</v>
      </c>
      <c r="BK381" t="s">
        <v>96</v>
      </c>
      <c r="BL381" t="s">
        <v>2033</v>
      </c>
      <c r="BM381" t="s">
        <v>5259</v>
      </c>
      <c r="BN381" t="s">
        <v>74</v>
      </c>
      <c r="BO381" t="s">
        <v>74</v>
      </c>
      <c r="BP381" t="s">
        <v>74</v>
      </c>
      <c r="BQ381" t="s">
        <v>74</v>
      </c>
      <c r="BR381" t="s">
        <v>99</v>
      </c>
      <c r="BS381" t="s">
        <v>5260</v>
      </c>
      <c r="BT381" t="str">
        <f>HYPERLINK("https%3A%2F%2Fwww.webofscience.com%2Fwos%2Fwoscc%2Ffull-record%2FWOS:000082547800012","View Full Record in Web of Science")</f>
        <v>View Full Record in Web of Science</v>
      </c>
    </row>
    <row r="382" spans="1:72" x14ac:dyDescent="0.15">
      <c r="A382" t="s">
        <v>72</v>
      </c>
      <c r="B382" t="s">
        <v>5261</v>
      </c>
      <c r="C382" t="s">
        <v>74</v>
      </c>
      <c r="D382" t="s">
        <v>74</v>
      </c>
      <c r="E382" t="s">
        <v>74</v>
      </c>
      <c r="F382" t="s">
        <v>5261</v>
      </c>
      <c r="G382" t="s">
        <v>74</v>
      </c>
      <c r="H382" t="s">
        <v>74</v>
      </c>
      <c r="I382" t="s">
        <v>5262</v>
      </c>
      <c r="J382" t="s">
        <v>5263</v>
      </c>
      <c r="K382" t="s">
        <v>74</v>
      </c>
      <c r="L382" t="s">
        <v>74</v>
      </c>
      <c r="M382" t="s">
        <v>77</v>
      </c>
      <c r="N382" t="s">
        <v>78</v>
      </c>
      <c r="O382" t="s">
        <v>74</v>
      </c>
      <c r="P382" t="s">
        <v>74</v>
      </c>
      <c r="Q382" t="s">
        <v>74</v>
      </c>
      <c r="R382" t="s">
        <v>74</v>
      </c>
      <c r="S382" t="s">
        <v>74</v>
      </c>
      <c r="T382" t="s">
        <v>5264</v>
      </c>
      <c r="U382" t="s">
        <v>5265</v>
      </c>
      <c r="V382" t="s">
        <v>5266</v>
      </c>
      <c r="W382" t="s">
        <v>5267</v>
      </c>
      <c r="X382" t="s">
        <v>4905</v>
      </c>
      <c r="Y382" t="s">
        <v>5268</v>
      </c>
      <c r="Z382" t="s">
        <v>74</v>
      </c>
      <c r="AA382" t="s">
        <v>74</v>
      </c>
      <c r="AB382" t="s">
        <v>74</v>
      </c>
      <c r="AC382" t="s">
        <v>74</v>
      </c>
      <c r="AD382" t="s">
        <v>74</v>
      </c>
      <c r="AE382" t="s">
        <v>74</v>
      </c>
      <c r="AF382" t="s">
        <v>74</v>
      </c>
      <c r="AG382">
        <v>29</v>
      </c>
      <c r="AH382">
        <v>47</v>
      </c>
      <c r="AI382">
        <v>50</v>
      </c>
      <c r="AJ382">
        <v>0</v>
      </c>
      <c r="AK382">
        <v>6</v>
      </c>
      <c r="AL382" t="s">
        <v>705</v>
      </c>
      <c r="AM382" t="s">
        <v>5269</v>
      </c>
      <c r="AN382" t="s">
        <v>5270</v>
      </c>
      <c r="AO382" t="s">
        <v>5271</v>
      </c>
      <c r="AP382" t="s">
        <v>5272</v>
      </c>
      <c r="AQ382" t="s">
        <v>74</v>
      </c>
      <c r="AR382" t="s">
        <v>5273</v>
      </c>
      <c r="AS382" t="s">
        <v>5274</v>
      </c>
      <c r="AT382" t="s">
        <v>5141</v>
      </c>
      <c r="AU382">
        <v>1999</v>
      </c>
      <c r="AV382">
        <v>92</v>
      </c>
      <c r="AW382">
        <v>1</v>
      </c>
      <c r="AX382" t="s">
        <v>74</v>
      </c>
      <c r="AY382" t="s">
        <v>74</v>
      </c>
      <c r="AZ382" t="s">
        <v>74</v>
      </c>
      <c r="BA382" t="s">
        <v>74</v>
      </c>
      <c r="BB382">
        <v>39</v>
      </c>
      <c r="BC382">
        <v>66</v>
      </c>
      <c r="BD382" t="s">
        <v>74</v>
      </c>
      <c r="BE382" t="s">
        <v>74</v>
      </c>
      <c r="BF382" t="s">
        <v>74</v>
      </c>
      <c r="BG382" t="s">
        <v>74</v>
      </c>
      <c r="BH382" t="s">
        <v>74</v>
      </c>
      <c r="BI382">
        <v>28</v>
      </c>
      <c r="BJ382" t="s">
        <v>95</v>
      </c>
      <c r="BK382" t="s">
        <v>96</v>
      </c>
      <c r="BL382" t="s">
        <v>95</v>
      </c>
      <c r="BM382" t="s">
        <v>5275</v>
      </c>
      <c r="BN382" t="s">
        <v>74</v>
      </c>
      <c r="BO382" t="s">
        <v>74</v>
      </c>
      <c r="BP382" t="s">
        <v>74</v>
      </c>
      <c r="BQ382" t="s">
        <v>74</v>
      </c>
      <c r="BR382" t="s">
        <v>99</v>
      </c>
      <c r="BS382" t="s">
        <v>5276</v>
      </c>
      <c r="BT382" t="str">
        <f>HYPERLINK("https%3A%2F%2Fwww.webofscience.com%2Fwos%2Fwoscc%2Ffull-record%2FWOS:000081500500004","View Full Record in Web of Science")</f>
        <v>View Full Record in Web of Science</v>
      </c>
    </row>
    <row r="383" spans="1:72" x14ac:dyDescent="0.15">
      <c r="A383" t="s">
        <v>72</v>
      </c>
      <c r="B383" t="s">
        <v>5277</v>
      </c>
      <c r="C383" t="s">
        <v>74</v>
      </c>
      <c r="D383" t="s">
        <v>74</v>
      </c>
      <c r="E383" t="s">
        <v>74</v>
      </c>
      <c r="F383" t="s">
        <v>5277</v>
      </c>
      <c r="G383" t="s">
        <v>74</v>
      </c>
      <c r="H383" t="s">
        <v>74</v>
      </c>
      <c r="I383" t="s">
        <v>5278</v>
      </c>
      <c r="J383" t="s">
        <v>715</v>
      </c>
      <c r="K383" t="s">
        <v>74</v>
      </c>
      <c r="L383" t="s">
        <v>74</v>
      </c>
      <c r="M383" t="s">
        <v>77</v>
      </c>
      <c r="N383" t="s">
        <v>78</v>
      </c>
      <c r="O383" t="s">
        <v>74</v>
      </c>
      <c r="P383" t="s">
        <v>74</v>
      </c>
      <c r="Q383" t="s">
        <v>74</v>
      </c>
      <c r="R383" t="s">
        <v>74</v>
      </c>
      <c r="S383" t="s">
        <v>74</v>
      </c>
      <c r="T383" t="s">
        <v>74</v>
      </c>
      <c r="U383" t="s">
        <v>5279</v>
      </c>
      <c r="V383" t="s">
        <v>5280</v>
      </c>
      <c r="W383" t="s">
        <v>5281</v>
      </c>
      <c r="X383" t="s">
        <v>4063</v>
      </c>
      <c r="Y383" t="s">
        <v>5282</v>
      </c>
      <c r="Z383" t="s">
        <v>74</v>
      </c>
      <c r="AA383" t="s">
        <v>5283</v>
      </c>
      <c r="AB383" t="s">
        <v>74</v>
      </c>
      <c r="AC383" t="s">
        <v>74</v>
      </c>
      <c r="AD383" t="s">
        <v>74</v>
      </c>
      <c r="AE383" t="s">
        <v>74</v>
      </c>
      <c r="AF383" t="s">
        <v>74</v>
      </c>
      <c r="AG383">
        <v>79</v>
      </c>
      <c r="AH383">
        <v>90</v>
      </c>
      <c r="AI383">
        <v>108</v>
      </c>
      <c r="AJ383">
        <v>0</v>
      </c>
      <c r="AK383">
        <v>16</v>
      </c>
      <c r="AL383" t="s">
        <v>721</v>
      </c>
      <c r="AM383" t="s">
        <v>722</v>
      </c>
      <c r="AN383" t="s">
        <v>723</v>
      </c>
      <c r="AO383" t="s">
        <v>724</v>
      </c>
      <c r="AP383" t="s">
        <v>74</v>
      </c>
      <c r="AQ383" t="s">
        <v>74</v>
      </c>
      <c r="AR383" t="s">
        <v>725</v>
      </c>
      <c r="AS383" t="s">
        <v>726</v>
      </c>
      <c r="AT383" t="s">
        <v>5141</v>
      </c>
      <c r="AU383">
        <v>1999</v>
      </c>
      <c r="AV383">
        <v>56</v>
      </c>
      <c r="AW383">
        <v>7</v>
      </c>
      <c r="AX383" t="s">
        <v>74</v>
      </c>
      <c r="AY383" t="s">
        <v>74</v>
      </c>
      <c r="AZ383" t="s">
        <v>74</v>
      </c>
      <c r="BA383" t="s">
        <v>74</v>
      </c>
      <c r="BB383">
        <v>1182</v>
      </c>
      <c r="BC383">
        <v>1197</v>
      </c>
      <c r="BD383" t="s">
        <v>74</v>
      </c>
      <c r="BE383" t="s">
        <v>5284</v>
      </c>
      <c r="BF383" t="str">
        <f>HYPERLINK("http://dx.doi.org/10.1139/cjfas-56-7-1182","http://dx.doi.org/10.1139/cjfas-56-7-1182")</f>
        <v>http://dx.doi.org/10.1139/cjfas-56-7-1182</v>
      </c>
      <c r="BG383" t="s">
        <v>74</v>
      </c>
      <c r="BH383" t="s">
        <v>74</v>
      </c>
      <c r="BI383">
        <v>16</v>
      </c>
      <c r="BJ383" t="s">
        <v>728</v>
      </c>
      <c r="BK383" t="s">
        <v>96</v>
      </c>
      <c r="BL383" t="s">
        <v>728</v>
      </c>
      <c r="BM383" t="s">
        <v>5285</v>
      </c>
      <c r="BN383" t="s">
        <v>74</v>
      </c>
      <c r="BO383" t="s">
        <v>74</v>
      </c>
      <c r="BP383" t="s">
        <v>74</v>
      </c>
      <c r="BQ383" t="s">
        <v>74</v>
      </c>
      <c r="BR383" t="s">
        <v>99</v>
      </c>
      <c r="BS383" t="s">
        <v>5286</v>
      </c>
      <c r="BT383" t="str">
        <f>HYPERLINK("https%3A%2F%2Fwww.webofscience.com%2Fwos%2Fwoscc%2Ffull-record%2FWOS:000081788400005","View Full Record in Web of Science")</f>
        <v>View Full Record in Web of Science</v>
      </c>
    </row>
    <row r="384" spans="1:72" x14ac:dyDescent="0.15">
      <c r="A384" t="s">
        <v>72</v>
      </c>
      <c r="B384" t="s">
        <v>5287</v>
      </c>
      <c r="C384" t="s">
        <v>74</v>
      </c>
      <c r="D384" t="s">
        <v>74</v>
      </c>
      <c r="E384" t="s">
        <v>74</v>
      </c>
      <c r="F384" t="s">
        <v>5287</v>
      </c>
      <c r="G384" t="s">
        <v>74</v>
      </c>
      <c r="H384" t="s">
        <v>74</v>
      </c>
      <c r="I384" t="s">
        <v>5288</v>
      </c>
      <c r="J384" t="s">
        <v>5289</v>
      </c>
      <c r="K384" t="s">
        <v>74</v>
      </c>
      <c r="L384" t="s">
        <v>74</v>
      </c>
      <c r="M384" t="s">
        <v>77</v>
      </c>
      <c r="N384" t="s">
        <v>78</v>
      </c>
      <c r="O384" t="s">
        <v>74</v>
      </c>
      <c r="P384" t="s">
        <v>74</v>
      </c>
      <c r="Q384" t="s">
        <v>74</v>
      </c>
      <c r="R384" t="s">
        <v>74</v>
      </c>
      <c r="S384" t="s">
        <v>74</v>
      </c>
      <c r="T384" t="s">
        <v>74</v>
      </c>
      <c r="U384" t="s">
        <v>5290</v>
      </c>
      <c r="V384" t="s">
        <v>5291</v>
      </c>
      <c r="W384" t="s">
        <v>5292</v>
      </c>
      <c r="X384" t="s">
        <v>5293</v>
      </c>
      <c r="Y384" t="s">
        <v>5294</v>
      </c>
      <c r="Z384" t="s">
        <v>74</v>
      </c>
      <c r="AA384" t="s">
        <v>74</v>
      </c>
      <c r="AB384" t="s">
        <v>74</v>
      </c>
      <c r="AC384" t="s">
        <v>74</v>
      </c>
      <c r="AD384" t="s">
        <v>74</v>
      </c>
      <c r="AE384" t="s">
        <v>74</v>
      </c>
      <c r="AF384" t="s">
        <v>74</v>
      </c>
      <c r="AG384">
        <v>23</v>
      </c>
      <c r="AH384">
        <v>21</v>
      </c>
      <c r="AI384">
        <v>24</v>
      </c>
      <c r="AJ384">
        <v>1</v>
      </c>
      <c r="AK384">
        <v>6</v>
      </c>
      <c r="AL384" t="s">
        <v>5295</v>
      </c>
      <c r="AM384" t="s">
        <v>722</v>
      </c>
      <c r="AN384" t="s">
        <v>5296</v>
      </c>
      <c r="AO384" t="s">
        <v>741</v>
      </c>
      <c r="AP384" t="s">
        <v>5297</v>
      </c>
      <c r="AQ384" t="s">
        <v>74</v>
      </c>
      <c r="AR384" t="s">
        <v>742</v>
      </c>
      <c r="AS384" t="s">
        <v>5298</v>
      </c>
      <c r="AT384" t="s">
        <v>5141</v>
      </c>
      <c r="AU384">
        <v>1999</v>
      </c>
      <c r="AV384">
        <v>77</v>
      </c>
      <c r="AW384">
        <v>7</v>
      </c>
      <c r="AX384" t="s">
        <v>74</v>
      </c>
      <c r="AY384" t="s">
        <v>74</v>
      </c>
      <c r="AZ384" t="s">
        <v>74</v>
      </c>
      <c r="BA384" t="s">
        <v>74</v>
      </c>
      <c r="BB384">
        <v>1157</v>
      </c>
      <c r="BC384">
        <v>1160</v>
      </c>
      <c r="BD384" t="s">
        <v>74</v>
      </c>
      <c r="BE384" t="s">
        <v>5299</v>
      </c>
      <c r="BF384" t="str">
        <f>HYPERLINK("http://dx.doi.org/10.1139/cjz-77-7-1157","http://dx.doi.org/10.1139/cjz-77-7-1157")</f>
        <v>http://dx.doi.org/10.1139/cjz-77-7-1157</v>
      </c>
      <c r="BG384" t="s">
        <v>74</v>
      </c>
      <c r="BH384" t="s">
        <v>74</v>
      </c>
      <c r="BI384">
        <v>4</v>
      </c>
      <c r="BJ384" t="s">
        <v>142</v>
      </c>
      <c r="BK384" t="s">
        <v>96</v>
      </c>
      <c r="BL384" t="s">
        <v>142</v>
      </c>
      <c r="BM384" t="s">
        <v>5300</v>
      </c>
      <c r="BN384" t="s">
        <v>74</v>
      </c>
      <c r="BO384" t="s">
        <v>74</v>
      </c>
      <c r="BP384" t="s">
        <v>74</v>
      </c>
      <c r="BQ384" t="s">
        <v>74</v>
      </c>
      <c r="BR384" t="s">
        <v>99</v>
      </c>
      <c r="BS384" t="s">
        <v>5301</v>
      </c>
      <c r="BT384" t="str">
        <f>HYPERLINK("https%3A%2F%2Fwww.webofscience.com%2Fwos%2Fwoscc%2Ffull-record%2FWOS:000083510100016","View Full Record in Web of Science")</f>
        <v>View Full Record in Web of Science</v>
      </c>
    </row>
    <row r="385" spans="1:72" x14ac:dyDescent="0.15">
      <c r="A385" t="s">
        <v>72</v>
      </c>
      <c r="B385" t="s">
        <v>5302</v>
      </c>
      <c r="C385" t="s">
        <v>74</v>
      </c>
      <c r="D385" t="s">
        <v>74</v>
      </c>
      <c r="E385" t="s">
        <v>74</v>
      </c>
      <c r="F385" t="s">
        <v>5302</v>
      </c>
      <c r="G385" t="s">
        <v>74</v>
      </c>
      <c r="H385" t="s">
        <v>74</v>
      </c>
      <c r="I385" t="s">
        <v>5303</v>
      </c>
      <c r="J385" t="s">
        <v>749</v>
      </c>
      <c r="K385" t="s">
        <v>74</v>
      </c>
      <c r="L385" t="s">
        <v>74</v>
      </c>
      <c r="M385" t="s">
        <v>77</v>
      </c>
      <c r="N385" t="s">
        <v>78</v>
      </c>
      <c r="O385" t="s">
        <v>74</v>
      </c>
      <c r="P385" t="s">
        <v>74</v>
      </c>
      <c r="Q385" t="s">
        <v>74</v>
      </c>
      <c r="R385" t="s">
        <v>74</v>
      </c>
      <c r="S385" t="s">
        <v>74</v>
      </c>
      <c r="T385" t="s">
        <v>74</v>
      </c>
      <c r="U385" t="s">
        <v>5304</v>
      </c>
      <c r="V385" t="s">
        <v>5305</v>
      </c>
      <c r="W385" t="s">
        <v>5306</v>
      </c>
      <c r="X385" t="s">
        <v>5307</v>
      </c>
      <c r="Y385" t="s">
        <v>5308</v>
      </c>
      <c r="Z385" t="s">
        <v>74</v>
      </c>
      <c r="AA385" t="s">
        <v>74</v>
      </c>
      <c r="AB385" t="s">
        <v>74</v>
      </c>
      <c r="AC385" t="s">
        <v>74</v>
      </c>
      <c r="AD385" t="s">
        <v>74</v>
      </c>
      <c r="AE385" t="s">
        <v>74</v>
      </c>
      <c r="AF385" t="s">
        <v>74</v>
      </c>
      <c r="AG385">
        <v>29</v>
      </c>
      <c r="AH385">
        <v>100</v>
      </c>
      <c r="AI385">
        <v>113</v>
      </c>
      <c r="AJ385">
        <v>0</v>
      </c>
      <c r="AK385">
        <v>45</v>
      </c>
      <c r="AL385" t="s">
        <v>275</v>
      </c>
      <c r="AM385" t="s">
        <v>276</v>
      </c>
      <c r="AN385" t="s">
        <v>277</v>
      </c>
      <c r="AO385" t="s">
        <v>757</v>
      </c>
      <c r="AP385" t="s">
        <v>5309</v>
      </c>
      <c r="AQ385" t="s">
        <v>74</v>
      </c>
      <c r="AR385" t="s">
        <v>749</v>
      </c>
      <c r="AS385" t="s">
        <v>758</v>
      </c>
      <c r="AT385" t="s">
        <v>5141</v>
      </c>
      <c r="AU385">
        <v>1999</v>
      </c>
      <c r="AV385">
        <v>39</v>
      </c>
      <c r="AW385">
        <v>1</v>
      </c>
      <c r="AX385" t="s">
        <v>74</v>
      </c>
      <c r="AY385" t="s">
        <v>74</v>
      </c>
      <c r="AZ385" t="s">
        <v>74</v>
      </c>
      <c r="BA385" t="s">
        <v>74</v>
      </c>
      <c r="BB385">
        <v>89</v>
      </c>
      <c r="BC385">
        <v>102</v>
      </c>
      <c r="BD385" t="s">
        <v>74</v>
      </c>
      <c r="BE385" t="s">
        <v>5310</v>
      </c>
      <c r="BF385" t="str">
        <f>HYPERLINK("http://dx.doi.org/10.1016/S0045-6535(98)00591-8","http://dx.doi.org/10.1016/S0045-6535(98)00591-8")</f>
        <v>http://dx.doi.org/10.1016/S0045-6535(98)00591-8</v>
      </c>
      <c r="BG385" t="s">
        <v>74</v>
      </c>
      <c r="BH385" t="s">
        <v>74</v>
      </c>
      <c r="BI385">
        <v>14</v>
      </c>
      <c r="BJ385" t="s">
        <v>760</v>
      </c>
      <c r="BK385" t="s">
        <v>96</v>
      </c>
      <c r="BL385" t="s">
        <v>761</v>
      </c>
      <c r="BM385" t="s">
        <v>5311</v>
      </c>
      <c r="BN385" t="s">
        <v>74</v>
      </c>
      <c r="BO385" t="s">
        <v>74</v>
      </c>
      <c r="BP385" t="s">
        <v>74</v>
      </c>
      <c r="BQ385" t="s">
        <v>74</v>
      </c>
      <c r="BR385" t="s">
        <v>99</v>
      </c>
      <c r="BS385" t="s">
        <v>5312</v>
      </c>
      <c r="BT385" t="str">
        <f>HYPERLINK("https%3A%2F%2Fwww.webofscience.com%2Fwos%2Fwoscc%2Ffull-record%2FWOS:000080509400009","View Full Record in Web of Science")</f>
        <v>View Full Record in Web of Science</v>
      </c>
    </row>
    <row r="386" spans="1:72" x14ac:dyDescent="0.15">
      <c r="A386" t="s">
        <v>72</v>
      </c>
      <c r="B386" t="s">
        <v>5313</v>
      </c>
      <c r="C386" t="s">
        <v>74</v>
      </c>
      <c r="D386" t="s">
        <v>74</v>
      </c>
      <c r="E386" t="s">
        <v>74</v>
      </c>
      <c r="F386" t="s">
        <v>5313</v>
      </c>
      <c r="G386" t="s">
        <v>74</v>
      </c>
      <c r="H386" t="s">
        <v>74</v>
      </c>
      <c r="I386" t="s">
        <v>5314</v>
      </c>
      <c r="J386" t="s">
        <v>811</v>
      </c>
      <c r="K386" t="s">
        <v>74</v>
      </c>
      <c r="L386" t="s">
        <v>74</v>
      </c>
      <c r="M386" t="s">
        <v>77</v>
      </c>
      <c r="N386" t="s">
        <v>78</v>
      </c>
      <c r="O386" t="s">
        <v>74</v>
      </c>
      <c r="P386" t="s">
        <v>74</v>
      </c>
      <c r="Q386" t="s">
        <v>74</v>
      </c>
      <c r="R386" t="s">
        <v>74</v>
      </c>
      <c r="S386" t="s">
        <v>74</v>
      </c>
      <c r="T386" t="s">
        <v>5315</v>
      </c>
      <c r="U386" t="s">
        <v>5316</v>
      </c>
      <c r="V386" t="s">
        <v>5317</v>
      </c>
      <c r="W386" t="s">
        <v>5318</v>
      </c>
      <c r="X386" t="s">
        <v>5319</v>
      </c>
      <c r="Y386" t="s">
        <v>5320</v>
      </c>
      <c r="Z386" t="s">
        <v>74</v>
      </c>
      <c r="AA386" t="s">
        <v>74</v>
      </c>
      <c r="AB386" t="s">
        <v>5321</v>
      </c>
      <c r="AC386" t="s">
        <v>74</v>
      </c>
      <c r="AD386" t="s">
        <v>74</v>
      </c>
      <c r="AE386" t="s">
        <v>74</v>
      </c>
      <c r="AF386" t="s">
        <v>74</v>
      </c>
      <c r="AG386">
        <v>25</v>
      </c>
      <c r="AH386">
        <v>5</v>
      </c>
      <c r="AI386">
        <v>5</v>
      </c>
      <c r="AJ386">
        <v>0</v>
      </c>
      <c r="AK386">
        <v>5</v>
      </c>
      <c r="AL386" t="s">
        <v>275</v>
      </c>
      <c r="AM386" t="s">
        <v>276</v>
      </c>
      <c r="AN386" t="s">
        <v>277</v>
      </c>
      <c r="AO386" t="s">
        <v>818</v>
      </c>
      <c r="AP386" t="s">
        <v>74</v>
      </c>
      <c r="AQ386" t="s">
        <v>74</v>
      </c>
      <c r="AR386" t="s">
        <v>819</v>
      </c>
      <c r="AS386" t="s">
        <v>820</v>
      </c>
      <c r="AT386" t="s">
        <v>5141</v>
      </c>
      <c r="AU386">
        <v>1999</v>
      </c>
      <c r="AV386">
        <v>123</v>
      </c>
      <c r="AW386">
        <v>3</v>
      </c>
      <c r="AX386" t="s">
        <v>74</v>
      </c>
      <c r="AY386" t="s">
        <v>74</v>
      </c>
      <c r="AZ386" t="s">
        <v>74</v>
      </c>
      <c r="BA386" t="s">
        <v>74</v>
      </c>
      <c r="BB386">
        <v>279</v>
      </c>
      <c r="BC386">
        <v>284</v>
      </c>
      <c r="BD386" t="s">
        <v>74</v>
      </c>
      <c r="BE386" t="s">
        <v>5322</v>
      </c>
      <c r="BF386" t="str">
        <f>HYPERLINK("http://dx.doi.org/10.1016/S0742-8413(99)00035-3","http://dx.doi.org/10.1016/S0742-8413(99)00035-3")</f>
        <v>http://dx.doi.org/10.1016/S0742-8413(99)00035-3</v>
      </c>
      <c r="BG386" t="s">
        <v>74</v>
      </c>
      <c r="BH386" t="s">
        <v>74</v>
      </c>
      <c r="BI386">
        <v>6</v>
      </c>
      <c r="BJ386" t="s">
        <v>822</v>
      </c>
      <c r="BK386" t="s">
        <v>96</v>
      </c>
      <c r="BL386" t="s">
        <v>822</v>
      </c>
      <c r="BM386" t="s">
        <v>5323</v>
      </c>
      <c r="BN386">
        <v>10530900</v>
      </c>
      <c r="BO386" t="s">
        <v>74</v>
      </c>
      <c r="BP386" t="s">
        <v>74</v>
      </c>
      <c r="BQ386" t="s">
        <v>74</v>
      </c>
      <c r="BR386" t="s">
        <v>99</v>
      </c>
      <c r="BS386" t="s">
        <v>5324</v>
      </c>
      <c r="BT386" t="str">
        <f>HYPERLINK("https%3A%2F%2Fwww.webofscience.com%2Fwos%2Fwoscc%2Ffull-record%2FWOS:000082350300011","View Full Record in Web of Science")</f>
        <v>View Full Record in Web of Science</v>
      </c>
    </row>
    <row r="387" spans="1:72" x14ac:dyDescent="0.15">
      <c r="A387" t="s">
        <v>72</v>
      </c>
      <c r="B387" t="s">
        <v>5325</v>
      </c>
      <c r="C387" t="s">
        <v>74</v>
      </c>
      <c r="D387" t="s">
        <v>74</v>
      </c>
      <c r="E387" t="s">
        <v>74</v>
      </c>
      <c r="F387" t="s">
        <v>5325</v>
      </c>
      <c r="G387" t="s">
        <v>74</v>
      </c>
      <c r="H387" t="s">
        <v>74</v>
      </c>
      <c r="I387" t="s">
        <v>5326</v>
      </c>
      <c r="J387" t="s">
        <v>827</v>
      </c>
      <c r="K387" t="s">
        <v>74</v>
      </c>
      <c r="L387" t="s">
        <v>74</v>
      </c>
      <c r="M387" t="s">
        <v>77</v>
      </c>
      <c r="N387" t="s">
        <v>78</v>
      </c>
      <c r="O387" t="s">
        <v>74</v>
      </c>
      <c r="P387" t="s">
        <v>74</v>
      </c>
      <c r="Q387" t="s">
        <v>74</v>
      </c>
      <c r="R387" t="s">
        <v>74</v>
      </c>
      <c r="S387" t="s">
        <v>74</v>
      </c>
      <c r="T387" t="s">
        <v>74</v>
      </c>
      <c r="U387" t="s">
        <v>5327</v>
      </c>
      <c r="V387" t="s">
        <v>5328</v>
      </c>
      <c r="W387" t="s">
        <v>5329</v>
      </c>
      <c r="X387" t="s">
        <v>5330</v>
      </c>
      <c r="Y387" t="s">
        <v>2844</v>
      </c>
      <c r="Z387" t="s">
        <v>5331</v>
      </c>
      <c r="AA387" t="s">
        <v>4702</v>
      </c>
      <c r="AB387" t="s">
        <v>5332</v>
      </c>
      <c r="AC387" t="s">
        <v>74</v>
      </c>
      <c r="AD387" t="s">
        <v>74</v>
      </c>
      <c r="AE387" t="s">
        <v>74</v>
      </c>
      <c r="AF387" t="s">
        <v>74</v>
      </c>
      <c r="AG387">
        <v>25</v>
      </c>
      <c r="AH387">
        <v>53</v>
      </c>
      <c r="AI387">
        <v>57</v>
      </c>
      <c r="AJ387">
        <v>0</v>
      </c>
      <c r="AK387">
        <v>6</v>
      </c>
      <c r="AL387" t="s">
        <v>275</v>
      </c>
      <c r="AM387" t="s">
        <v>276</v>
      </c>
      <c r="AN387" t="s">
        <v>277</v>
      </c>
      <c r="AO387" t="s">
        <v>836</v>
      </c>
      <c r="AP387" t="s">
        <v>4449</v>
      </c>
      <c r="AQ387" t="s">
        <v>74</v>
      </c>
      <c r="AR387" t="s">
        <v>837</v>
      </c>
      <c r="AS387" t="s">
        <v>838</v>
      </c>
      <c r="AT387" t="s">
        <v>5141</v>
      </c>
      <c r="AU387">
        <v>1999</v>
      </c>
      <c r="AV387">
        <v>46</v>
      </c>
      <c r="AW387">
        <v>7</v>
      </c>
      <c r="AX387" t="s">
        <v>74</v>
      </c>
      <c r="AY387" t="s">
        <v>74</v>
      </c>
      <c r="AZ387" t="s">
        <v>74</v>
      </c>
      <c r="BA387" t="s">
        <v>74</v>
      </c>
      <c r="BB387">
        <v>1181</v>
      </c>
      <c r="BC387">
        <v>1200</v>
      </c>
      <c r="BD387" t="s">
        <v>74</v>
      </c>
      <c r="BE387" t="s">
        <v>5333</v>
      </c>
      <c r="BF387" t="str">
        <f>HYPERLINK("http://dx.doi.org/10.1016/S0967-0637(98)00108-3","http://dx.doi.org/10.1016/S0967-0637(98)00108-3")</f>
        <v>http://dx.doi.org/10.1016/S0967-0637(98)00108-3</v>
      </c>
      <c r="BG387" t="s">
        <v>74</v>
      </c>
      <c r="BH387" t="s">
        <v>74</v>
      </c>
      <c r="BI387">
        <v>20</v>
      </c>
      <c r="BJ387" t="s">
        <v>416</v>
      </c>
      <c r="BK387" t="s">
        <v>96</v>
      </c>
      <c r="BL387" t="s">
        <v>416</v>
      </c>
      <c r="BM387" t="s">
        <v>5334</v>
      </c>
      <c r="BN387" t="s">
        <v>74</v>
      </c>
      <c r="BO387" t="s">
        <v>74</v>
      </c>
      <c r="BP387" t="s">
        <v>74</v>
      </c>
      <c r="BQ387" t="s">
        <v>74</v>
      </c>
      <c r="BR387" t="s">
        <v>99</v>
      </c>
      <c r="BS387" t="s">
        <v>5335</v>
      </c>
      <c r="BT387" t="str">
        <f>HYPERLINK("https%3A%2F%2Fwww.webofscience.com%2Fwos%2Fwoscc%2Ffull-record%2FWOS:000080787000004","View Full Record in Web of Science")</f>
        <v>View Full Record in Web of Science</v>
      </c>
    </row>
    <row r="388" spans="1:72" x14ac:dyDescent="0.15">
      <c r="A388" t="s">
        <v>72</v>
      </c>
      <c r="B388" t="s">
        <v>5336</v>
      </c>
      <c r="C388" t="s">
        <v>74</v>
      </c>
      <c r="D388" t="s">
        <v>74</v>
      </c>
      <c r="E388" t="s">
        <v>74</v>
      </c>
      <c r="F388" t="s">
        <v>5336</v>
      </c>
      <c r="G388" t="s">
        <v>74</v>
      </c>
      <c r="H388" t="s">
        <v>74</v>
      </c>
      <c r="I388" t="s">
        <v>5337</v>
      </c>
      <c r="J388" t="s">
        <v>827</v>
      </c>
      <c r="K388" t="s">
        <v>74</v>
      </c>
      <c r="L388" t="s">
        <v>74</v>
      </c>
      <c r="M388" t="s">
        <v>77</v>
      </c>
      <c r="N388" t="s">
        <v>78</v>
      </c>
      <c r="O388" t="s">
        <v>74</v>
      </c>
      <c r="P388" t="s">
        <v>74</v>
      </c>
      <c r="Q388" t="s">
        <v>74</v>
      </c>
      <c r="R388" t="s">
        <v>74</v>
      </c>
      <c r="S388" t="s">
        <v>74</v>
      </c>
      <c r="T388" t="s">
        <v>74</v>
      </c>
      <c r="U388" t="s">
        <v>5338</v>
      </c>
      <c r="V388" t="s">
        <v>5339</v>
      </c>
      <c r="W388" t="s">
        <v>5340</v>
      </c>
      <c r="X388" t="s">
        <v>5341</v>
      </c>
      <c r="Y388" t="s">
        <v>5342</v>
      </c>
      <c r="Z388" t="s">
        <v>5343</v>
      </c>
      <c r="AA388" t="s">
        <v>5344</v>
      </c>
      <c r="AB388" t="s">
        <v>5345</v>
      </c>
      <c r="AC388" t="s">
        <v>74</v>
      </c>
      <c r="AD388" t="s">
        <v>74</v>
      </c>
      <c r="AE388" t="s">
        <v>74</v>
      </c>
      <c r="AF388" t="s">
        <v>74</v>
      </c>
      <c r="AG388">
        <v>47</v>
      </c>
      <c r="AH388">
        <v>18</v>
      </c>
      <c r="AI388">
        <v>20</v>
      </c>
      <c r="AJ388">
        <v>0</v>
      </c>
      <c r="AK388">
        <v>5</v>
      </c>
      <c r="AL388" t="s">
        <v>275</v>
      </c>
      <c r="AM388" t="s">
        <v>276</v>
      </c>
      <c r="AN388" t="s">
        <v>277</v>
      </c>
      <c r="AO388" t="s">
        <v>836</v>
      </c>
      <c r="AP388" t="s">
        <v>4449</v>
      </c>
      <c r="AQ388" t="s">
        <v>74</v>
      </c>
      <c r="AR388" t="s">
        <v>837</v>
      </c>
      <c r="AS388" t="s">
        <v>838</v>
      </c>
      <c r="AT388" t="s">
        <v>5141</v>
      </c>
      <c r="AU388">
        <v>1999</v>
      </c>
      <c r="AV388">
        <v>46</v>
      </c>
      <c r="AW388">
        <v>7</v>
      </c>
      <c r="AX388" t="s">
        <v>74</v>
      </c>
      <c r="AY388" t="s">
        <v>74</v>
      </c>
      <c r="AZ388" t="s">
        <v>74</v>
      </c>
      <c r="BA388" t="s">
        <v>74</v>
      </c>
      <c r="BB388">
        <v>1247</v>
      </c>
      <c r="BC388">
        <v>1278</v>
      </c>
      <c r="BD388" t="s">
        <v>74</v>
      </c>
      <c r="BE388" t="s">
        <v>5346</v>
      </c>
      <c r="BF388" t="str">
        <f>HYPERLINK("http://dx.doi.org/10.1016/S0967-0637(99)00005-9","http://dx.doi.org/10.1016/S0967-0637(99)00005-9")</f>
        <v>http://dx.doi.org/10.1016/S0967-0637(99)00005-9</v>
      </c>
      <c r="BG388" t="s">
        <v>74</v>
      </c>
      <c r="BH388" t="s">
        <v>74</v>
      </c>
      <c r="BI388">
        <v>32</v>
      </c>
      <c r="BJ388" t="s">
        <v>416</v>
      </c>
      <c r="BK388" t="s">
        <v>96</v>
      </c>
      <c r="BL388" t="s">
        <v>416</v>
      </c>
      <c r="BM388" t="s">
        <v>5334</v>
      </c>
      <c r="BN388" t="s">
        <v>74</v>
      </c>
      <c r="BO388" t="s">
        <v>1214</v>
      </c>
      <c r="BP388" t="s">
        <v>74</v>
      </c>
      <c r="BQ388" t="s">
        <v>74</v>
      </c>
      <c r="BR388" t="s">
        <v>99</v>
      </c>
      <c r="BS388" t="s">
        <v>5347</v>
      </c>
      <c r="BT388" t="str">
        <f>HYPERLINK("https%3A%2F%2Fwww.webofscience.com%2Fwos%2Fwoscc%2Ffull-record%2FWOS:000080787000007","View Full Record in Web of Science")</f>
        <v>View Full Record in Web of Science</v>
      </c>
    </row>
    <row r="389" spans="1:72" x14ac:dyDescent="0.15">
      <c r="A389" t="s">
        <v>72</v>
      </c>
      <c r="B389" t="s">
        <v>5348</v>
      </c>
      <c r="C389" t="s">
        <v>74</v>
      </c>
      <c r="D389" t="s">
        <v>74</v>
      </c>
      <c r="E389" t="s">
        <v>74</v>
      </c>
      <c r="F389" t="s">
        <v>5348</v>
      </c>
      <c r="G389" t="s">
        <v>74</v>
      </c>
      <c r="H389" t="s">
        <v>74</v>
      </c>
      <c r="I389" t="s">
        <v>5349</v>
      </c>
      <c r="J389" t="s">
        <v>844</v>
      </c>
      <c r="K389" t="s">
        <v>74</v>
      </c>
      <c r="L389" t="s">
        <v>74</v>
      </c>
      <c r="M389" t="s">
        <v>845</v>
      </c>
      <c r="N389" t="s">
        <v>78</v>
      </c>
      <c r="O389" t="s">
        <v>74</v>
      </c>
      <c r="P389" t="s">
        <v>74</v>
      </c>
      <c r="Q389" t="s">
        <v>74</v>
      </c>
      <c r="R389" t="s">
        <v>74</v>
      </c>
      <c r="S389" t="s">
        <v>74</v>
      </c>
      <c r="T389" t="s">
        <v>74</v>
      </c>
      <c r="U389" t="s">
        <v>74</v>
      </c>
      <c r="V389" t="s">
        <v>74</v>
      </c>
      <c r="W389" t="s">
        <v>5350</v>
      </c>
      <c r="X389" t="s">
        <v>5351</v>
      </c>
      <c r="Y389" t="s">
        <v>5352</v>
      </c>
      <c r="Z389" t="s">
        <v>74</v>
      </c>
      <c r="AA389" t="s">
        <v>5353</v>
      </c>
      <c r="AB389" t="s">
        <v>74</v>
      </c>
      <c r="AC389" t="s">
        <v>74</v>
      </c>
      <c r="AD389" t="s">
        <v>74</v>
      </c>
      <c r="AE389" t="s">
        <v>74</v>
      </c>
      <c r="AF389" t="s">
        <v>74</v>
      </c>
      <c r="AG389">
        <v>12</v>
      </c>
      <c r="AH389">
        <v>2</v>
      </c>
      <c r="AI389">
        <v>3</v>
      </c>
      <c r="AJ389">
        <v>0</v>
      </c>
      <c r="AK389">
        <v>1</v>
      </c>
      <c r="AL389" t="s">
        <v>849</v>
      </c>
      <c r="AM389" t="s">
        <v>850</v>
      </c>
      <c r="AN389" t="s">
        <v>851</v>
      </c>
      <c r="AO389" t="s">
        <v>852</v>
      </c>
      <c r="AP389" t="s">
        <v>74</v>
      </c>
      <c r="AQ389" t="s">
        <v>74</v>
      </c>
      <c r="AR389" t="s">
        <v>853</v>
      </c>
      <c r="AS389" t="s">
        <v>854</v>
      </c>
      <c r="AT389" t="s">
        <v>5141</v>
      </c>
      <c r="AU389">
        <v>1999</v>
      </c>
      <c r="AV389">
        <v>366</v>
      </c>
      <c r="AW389">
        <v>4</v>
      </c>
      <c r="AX389" t="s">
        <v>74</v>
      </c>
      <c r="AY389" t="s">
        <v>74</v>
      </c>
      <c r="AZ389" t="s">
        <v>74</v>
      </c>
      <c r="BA389" t="s">
        <v>74</v>
      </c>
      <c r="BB389">
        <v>543</v>
      </c>
      <c r="BC389">
        <v>546</v>
      </c>
      <c r="BD389" t="s">
        <v>74</v>
      </c>
      <c r="BE389" t="s">
        <v>74</v>
      </c>
      <c r="BF389" t="s">
        <v>74</v>
      </c>
      <c r="BG389" t="s">
        <v>74</v>
      </c>
      <c r="BH389" t="s">
        <v>74</v>
      </c>
      <c r="BI389">
        <v>4</v>
      </c>
      <c r="BJ389" t="s">
        <v>303</v>
      </c>
      <c r="BK389" t="s">
        <v>96</v>
      </c>
      <c r="BL389" t="s">
        <v>304</v>
      </c>
      <c r="BM389" t="s">
        <v>5354</v>
      </c>
      <c r="BN389" t="s">
        <v>74</v>
      </c>
      <c r="BO389" t="s">
        <v>74</v>
      </c>
      <c r="BP389" t="s">
        <v>74</v>
      </c>
      <c r="BQ389" t="s">
        <v>74</v>
      </c>
      <c r="BR389" t="s">
        <v>99</v>
      </c>
      <c r="BS389" t="s">
        <v>5355</v>
      </c>
      <c r="BT389" t="str">
        <f>HYPERLINK("https%3A%2F%2Fwww.webofscience.com%2Fwos%2Fwoscc%2Ffull-record%2FWOS:000086415700031","View Full Record in Web of Science")</f>
        <v>View Full Record in Web of Science</v>
      </c>
    </row>
    <row r="390" spans="1:72" x14ac:dyDescent="0.15">
      <c r="A390" t="s">
        <v>72</v>
      </c>
      <c r="B390" t="s">
        <v>5356</v>
      </c>
      <c r="C390" t="s">
        <v>74</v>
      </c>
      <c r="D390" t="s">
        <v>74</v>
      </c>
      <c r="E390" t="s">
        <v>74</v>
      </c>
      <c r="F390" t="s">
        <v>5356</v>
      </c>
      <c r="G390" t="s">
        <v>74</v>
      </c>
      <c r="H390" t="s">
        <v>74</v>
      </c>
      <c r="I390" t="s">
        <v>5357</v>
      </c>
      <c r="J390" t="s">
        <v>5358</v>
      </c>
      <c r="K390" t="s">
        <v>74</v>
      </c>
      <c r="L390" t="s">
        <v>74</v>
      </c>
      <c r="M390" t="s">
        <v>77</v>
      </c>
      <c r="N390" t="s">
        <v>1187</v>
      </c>
      <c r="O390" t="s">
        <v>74</v>
      </c>
      <c r="P390" t="s">
        <v>74</v>
      </c>
      <c r="Q390" t="s">
        <v>74</v>
      </c>
      <c r="R390" t="s">
        <v>74</v>
      </c>
      <c r="S390" t="s">
        <v>74</v>
      </c>
      <c r="T390" t="s">
        <v>74</v>
      </c>
      <c r="U390" t="s">
        <v>74</v>
      </c>
      <c r="V390" t="s">
        <v>74</v>
      </c>
      <c r="W390" t="s">
        <v>5359</v>
      </c>
      <c r="X390" t="s">
        <v>5360</v>
      </c>
      <c r="Y390" t="s">
        <v>5361</v>
      </c>
      <c r="Z390" t="s">
        <v>74</v>
      </c>
      <c r="AA390" t="s">
        <v>74</v>
      </c>
      <c r="AB390" t="s">
        <v>74</v>
      </c>
      <c r="AC390" t="s">
        <v>74</v>
      </c>
      <c r="AD390" t="s">
        <v>74</v>
      </c>
      <c r="AE390" t="s">
        <v>74</v>
      </c>
      <c r="AF390" t="s">
        <v>74</v>
      </c>
      <c r="AG390">
        <v>1</v>
      </c>
      <c r="AH390">
        <v>0</v>
      </c>
      <c r="AI390">
        <v>0</v>
      </c>
      <c r="AJ390">
        <v>0</v>
      </c>
      <c r="AK390">
        <v>0</v>
      </c>
      <c r="AL390" t="s">
        <v>5362</v>
      </c>
      <c r="AM390" t="s">
        <v>5363</v>
      </c>
      <c r="AN390" t="s">
        <v>5364</v>
      </c>
      <c r="AO390" t="s">
        <v>5365</v>
      </c>
      <c r="AP390" t="s">
        <v>74</v>
      </c>
      <c r="AQ390" t="s">
        <v>74</v>
      </c>
      <c r="AR390" t="s">
        <v>5366</v>
      </c>
      <c r="AS390" t="s">
        <v>5367</v>
      </c>
      <c r="AT390" t="s">
        <v>5141</v>
      </c>
      <c r="AU390">
        <v>1999</v>
      </c>
      <c r="AV390">
        <v>31</v>
      </c>
      <c r="AW390">
        <v>4</v>
      </c>
      <c r="AX390" t="s">
        <v>74</v>
      </c>
      <c r="AY390" t="s">
        <v>74</v>
      </c>
      <c r="AZ390" t="s">
        <v>74</v>
      </c>
      <c r="BA390" t="s">
        <v>74</v>
      </c>
      <c r="BB390">
        <v>577</v>
      </c>
      <c r="BC390">
        <v>579</v>
      </c>
      <c r="BD390" t="s">
        <v>74</v>
      </c>
      <c r="BE390" t="s">
        <v>5368</v>
      </c>
      <c r="BF390" t="str">
        <f>HYPERLINK("http://dx.doi.org/10.1177/00139169921972245","http://dx.doi.org/10.1177/00139169921972245")</f>
        <v>http://dx.doi.org/10.1177/00139169921972245</v>
      </c>
      <c r="BG390" t="s">
        <v>74</v>
      </c>
      <c r="BH390" t="s">
        <v>74</v>
      </c>
      <c r="BI390">
        <v>3</v>
      </c>
      <c r="BJ390" t="s">
        <v>5369</v>
      </c>
      <c r="BK390" t="s">
        <v>1194</v>
      </c>
      <c r="BL390" t="s">
        <v>5370</v>
      </c>
      <c r="BM390" t="s">
        <v>5371</v>
      </c>
      <c r="BN390" t="s">
        <v>74</v>
      </c>
      <c r="BO390" t="s">
        <v>74</v>
      </c>
      <c r="BP390" t="s">
        <v>74</v>
      </c>
      <c r="BQ390" t="s">
        <v>74</v>
      </c>
      <c r="BR390" t="s">
        <v>99</v>
      </c>
      <c r="BS390" t="s">
        <v>5372</v>
      </c>
      <c r="BT390" t="str">
        <f>HYPERLINK("https%3A%2F%2Fwww.webofscience.com%2Fwos%2Fwoscc%2Ffull-record%2FWOS:000081403800007","View Full Record in Web of Science")</f>
        <v>View Full Record in Web of Science</v>
      </c>
    </row>
    <row r="391" spans="1:72" x14ac:dyDescent="0.15">
      <c r="A391" t="s">
        <v>72</v>
      </c>
      <c r="B391" t="s">
        <v>5373</v>
      </c>
      <c r="C391" t="s">
        <v>74</v>
      </c>
      <c r="D391" t="s">
        <v>74</v>
      </c>
      <c r="E391" t="s">
        <v>74</v>
      </c>
      <c r="F391" t="s">
        <v>5373</v>
      </c>
      <c r="G391" t="s">
        <v>74</v>
      </c>
      <c r="H391" t="s">
        <v>74</v>
      </c>
      <c r="I391" t="s">
        <v>5374</v>
      </c>
      <c r="J391" t="s">
        <v>5375</v>
      </c>
      <c r="K391" t="s">
        <v>74</v>
      </c>
      <c r="L391" t="s">
        <v>74</v>
      </c>
      <c r="M391" t="s">
        <v>77</v>
      </c>
      <c r="N391" t="s">
        <v>78</v>
      </c>
      <c r="O391" t="s">
        <v>74</v>
      </c>
      <c r="P391" t="s">
        <v>74</v>
      </c>
      <c r="Q391" t="s">
        <v>74</v>
      </c>
      <c r="R391" t="s">
        <v>74</v>
      </c>
      <c r="S391" t="s">
        <v>74</v>
      </c>
      <c r="T391" t="s">
        <v>5376</v>
      </c>
      <c r="U391" t="s">
        <v>74</v>
      </c>
      <c r="V391" t="s">
        <v>5377</v>
      </c>
      <c r="W391" t="s">
        <v>5378</v>
      </c>
      <c r="X391" t="s">
        <v>5379</v>
      </c>
      <c r="Y391" t="s">
        <v>5380</v>
      </c>
      <c r="Z391" t="s">
        <v>74</v>
      </c>
      <c r="AA391" t="s">
        <v>74</v>
      </c>
      <c r="AB391" t="s">
        <v>74</v>
      </c>
      <c r="AC391" t="s">
        <v>74</v>
      </c>
      <c r="AD391" t="s">
        <v>74</v>
      </c>
      <c r="AE391" t="s">
        <v>74</v>
      </c>
      <c r="AF391" t="s">
        <v>74</v>
      </c>
      <c r="AG391">
        <v>13</v>
      </c>
      <c r="AH391">
        <v>8</v>
      </c>
      <c r="AI391">
        <v>9</v>
      </c>
      <c r="AJ391">
        <v>0</v>
      </c>
      <c r="AK391">
        <v>26</v>
      </c>
      <c r="AL391" t="s">
        <v>705</v>
      </c>
      <c r="AM391" t="s">
        <v>554</v>
      </c>
      <c r="AN391" t="s">
        <v>706</v>
      </c>
      <c r="AO391" t="s">
        <v>5381</v>
      </c>
      <c r="AP391" t="s">
        <v>5382</v>
      </c>
      <c r="AQ391" t="s">
        <v>74</v>
      </c>
      <c r="AR391" t="s">
        <v>5383</v>
      </c>
      <c r="AS391" t="s">
        <v>5384</v>
      </c>
      <c r="AT391" t="s">
        <v>5141</v>
      </c>
      <c r="AU391">
        <v>1999</v>
      </c>
      <c r="AV391">
        <v>24</v>
      </c>
      <c r="AW391">
        <v>1</v>
      </c>
      <c r="AX391" t="s">
        <v>74</v>
      </c>
      <c r="AY391" t="s">
        <v>74</v>
      </c>
      <c r="AZ391" t="s">
        <v>74</v>
      </c>
      <c r="BA391" t="s">
        <v>74</v>
      </c>
      <c r="BB391">
        <v>13</v>
      </c>
      <c r="BC391">
        <v>23</v>
      </c>
      <c r="BD391" t="s">
        <v>74</v>
      </c>
      <c r="BE391" t="s">
        <v>5385</v>
      </c>
      <c r="BF391" t="str">
        <f>HYPERLINK("http://dx.doi.org/10.1007/s002679900211","http://dx.doi.org/10.1007/s002679900211")</f>
        <v>http://dx.doi.org/10.1007/s002679900211</v>
      </c>
      <c r="BG391" t="s">
        <v>74</v>
      </c>
      <c r="BH391" t="s">
        <v>74</v>
      </c>
      <c r="BI391">
        <v>11</v>
      </c>
      <c r="BJ391" t="s">
        <v>760</v>
      </c>
      <c r="BK391" t="s">
        <v>96</v>
      </c>
      <c r="BL391" t="s">
        <v>761</v>
      </c>
      <c r="BM391" t="s">
        <v>5386</v>
      </c>
      <c r="BN391">
        <v>10341059</v>
      </c>
      <c r="BO391" t="s">
        <v>74</v>
      </c>
      <c r="BP391" t="s">
        <v>74</v>
      </c>
      <c r="BQ391" t="s">
        <v>74</v>
      </c>
      <c r="BR391" t="s">
        <v>99</v>
      </c>
      <c r="BS391" t="s">
        <v>5387</v>
      </c>
      <c r="BT391" t="str">
        <f>HYPERLINK("https%3A%2F%2Fwww.webofscience.com%2Fwos%2Fwoscc%2Ffull-record%2FWOS:000080692300002","View Full Record in Web of Science")</f>
        <v>View Full Record in Web of Science</v>
      </c>
    </row>
    <row r="392" spans="1:72" x14ac:dyDescent="0.15">
      <c r="A392" t="s">
        <v>72</v>
      </c>
      <c r="B392" t="s">
        <v>5388</v>
      </c>
      <c r="C392" t="s">
        <v>74</v>
      </c>
      <c r="D392" t="s">
        <v>74</v>
      </c>
      <c r="E392" t="s">
        <v>74</v>
      </c>
      <c r="F392" t="s">
        <v>5388</v>
      </c>
      <c r="G392" t="s">
        <v>74</v>
      </c>
      <c r="H392" t="s">
        <v>74</v>
      </c>
      <c r="I392" t="s">
        <v>5389</v>
      </c>
      <c r="J392" t="s">
        <v>5390</v>
      </c>
      <c r="K392" t="s">
        <v>74</v>
      </c>
      <c r="L392" t="s">
        <v>74</v>
      </c>
      <c r="M392" t="s">
        <v>77</v>
      </c>
      <c r="N392" t="s">
        <v>78</v>
      </c>
      <c r="O392" t="s">
        <v>74</v>
      </c>
      <c r="P392" t="s">
        <v>74</v>
      </c>
      <c r="Q392" t="s">
        <v>74</v>
      </c>
      <c r="R392" t="s">
        <v>74</v>
      </c>
      <c r="S392" t="s">
        <v>74</v>
      </c>
      <c r="T392" t="s">
        <v>5391</v>
      </c>
      <c r="U392" t="s">
        <v>5392</v>
      </c>
      <c r="V392" t="s">
        <v>5393</v>
      </c>
      <c r="W392" t="s">
        <v>5394</v>
      </c>
      <c r="X392" t="s">
        <v>5395</v>
      </c>
      <c r="Y392" t="s">
        <v>5396</v>
      </c>
      <c r="Z392" t="s">
        <v>74</v>
      </c>
      <c r="AA392" t="s">
        <v>74</v>
      </c>
      <c r="AB392" t="s">
        <v>5397</v>
      </c>
      <c r="AC392" t="s">
        <v>74</v>
      </c>
      <c r="AD392" t="s">
        <v>74</v>
      </c>
      <c r="AE392" t="s">
        <v>74</v>
      </c>
      <c r="AF392" t="s">
        <v>74</v>
      </c>
      <c r="AG392">
        <v>32</v>
      </c>
      <c r="AH392">
        <v>67</v>
      </c>
      <c r="AI392">
        <v>78</v>
      </c>
      <c r="AJ392">
        <v>2</v>
      </c>
      <c r="AK392">
        <v>25</v>
      </c>
      <c r="AL392" t="s">
        <v>210</v>
      </c>
      <c r="AM392" t="s">
        <v>211</v>
      </c>
      <c r="AN392" t="s">
        <v>212</v>
      </c>
      <c r="AO392" t="s">
        <v>5398</v>
      </c>
      <c r="AP392" t="s">
        <v>74</v>
      </c>
      <c r="AQ392" t="s">
        <v>74</v>
      </c>
      <c r="AR392" t="s">
        <v>5399</v>
      </c>
      <c r="AS392" t="s">
        <v>5400</v>
      </c>
      <c r="AT392" t="s">
        <v>5141</v>
      </c>
      <c r="AU392">
        <v>1999</v>
      </c>
      <c r="AV392">
        <v>41</v>
      </c>
      <c r="AW392">
        <v>3</v>
      </c>
      <c r="AX392" t="s">
        <v>74</v>
      </c>
      <c r="AY392" t="s">
        <v>74</v>
      </c>
      <c r="AZ392" t="s">
        <v>74</v>
      </c>
      <c r="BA392" t="s">
        <v>74</v>
      </c>
      <c r="BB392">
        <v>297</v>
      </c>
      <c r="BC392">
        <v>307</v>
      </c>
      <c r="BD392" t="s">
        <v>74</v>
      </c>
      <c r="BE392" t="s">
        <v>5401</v>
      </c>
      <c r="BF392" t="str">
        <f>HYPERLINK("http://dx.doi.org/10.1016/S0165-7836(99)00013-2","http://dx.doi.org/10.1016/S0165-7836(99)00013-2")</f>
        <v>http://dx.doi.org/10.1016/S0165-7836(99)00013-2</v>
      </c>
      <c r="BG392" t="s">
        <v>74</v>
      </c>
      <c r="BH392" t="s">
        <v>74</v>
      </c>
      <c r="BI392">
        <v>11</v>
      </c>
      <c r="BJ392" t="s">
        <v>5402</v>
      </c>
      <c r="BK392" t="s">
        <v>96</v>
      </c>
      <c r="BL392" t="s">
        <v>5402</v>
      </c>
      <c r="BM392" t="s">
        <v>5403</v>
      </c>
      <c r="BN392" t="s">
        <v>74</v>
      </c>
      <c r="BO392" t="s">
        <v>518</v>
      </c>
      <c r="BP392" t="s">
        <v>74</v>
      </c>
      <c r="BQ392" t="s">
        <v>74</v>
      </c>
      <c r="BR392" t="s">
        <v>99</v>
      </c>
      <c r="BS392" t="s">
        <v>5404</v>
      </c>
      <c r="BT392" t="str">
        <f>HYPERLINK("https%3A%2F%2Fwww.webofscience.com%2Fwos%2Fwoscc%2Ffull-record%2FWOS:000080719000006","View Full Record in Web of Science")</f>
        <v>View Full Record in Web of Science</v>
      </c>
    </row>
    <row r="393" spans="1:72" x14ac:dyDescent="0.15">
      <c r="A393" t="s">
        <v>72</v>
      </c>
      <c r="B393" t="s">
        <v>5405</v>
      </c>
      <c r="C393" t="s">
        <v>74</v>
      </c>
      <c r="D393" t="s">
        <v>74</v>
      </c>
      <c r="E393" t="s">
        <v>74</v>
      </c>
      <c r="F393" t="s">
        <v>5405</v>
      </c>
      <c r="G393" t="s">
        <v>74</v>
      </c>
      <c r="H393" t="s">
        <v>74</v>
      </c>
      <c r="I393" t="s">
        <v>5406</v>
      </c>
      <c r="J393" t="s">
        <v>889</v>
      </c>
      <c r="K393" t="s">
        <v>74</v>
      </c>
      <c r="L393" t="s">
        <v>74</v>
      </c>
      <c r="M393" t="s">
        <v>77</v>
      </c>
      <c r="N393" t="s">
        <v>78</v>
      </c>
      <c r="O393" t="s">
        <v>74</v>
      </c>
      <c r="P393" t="s">
        <v>74</v>
      </c>
      <c r="Q393" t="s">
        <v>74</v>
      </c>
      <c r="R393" t="s">
        <v>74</v>
      </c>
      <c r="S393" t="s">
        <v>74</v>
      </c>
      <c r="T393" t="s">
        <v>74</v>
      </c>
      <c r="U393" t="s">
        <v>5407</v>
      </c>
      <c r="V393" t="s">
        <v>74</v>
      </c>
      <c r="W393" t="s">
        <v>5408</v>
      </c>
      <c r="X393" t="s">
        <v>5409</v>
      </c>
      <c r="Y393" t="s">
        <v>5410</v>
      </c>
      <c r="Z393" t="s">
        <v>74</v>
      </c>
      <c r="AA393" t="s">
        <v>5411</v>
      </c>
      <c r="AB393" t="s">
        <v>74</v>
      </c>
      <c r="AC393" t="s">
        <v>74</v>
      </c>
      <c r="AD393" t="s">
        <v>74</v>
      </c>
      <c r="AE393" t="s">
        <v>74</v>
      </c>
      <c r="AF393" t="s">
        <v>74</v>
      </c>
      <c r="AG393">
        <v>15</v>
      </c>
      <c r="AH393">
        <v>0</v>
      </c>
      <c r="AI393">
        <v>0</v>
      </c>
      <c r="AJ393">
        <v>0</v>
      </c>
      <c r="AK393">
        <v>0</v>
      </c>
      <c r="AL393" t="s">
        <v>896</v>
      </c>
      <c r="AM393" t="s">
        <v>589</v>
      </c>
      <c r="AN393" t="s">
        <v>897</v>
      </c>
      <c r="AO393" t="s">
        <v>898</v>
      </c>
      <c r="AP393" t="s">
        <v>74</v>
      </c>
      <c r="AQ393" t="s">
        <v>74</v>
      </c>
      <c r="AR393" t="s">
        <v>889</v>
      </c>
      <c r="AS393" t="s">
        <v>388</v>
      </c>
      <c r="AT393" t="s">
        <v>5141</v>
      </c>
      <c r="AU393">
        <v>1999</v>
      </c>
      <c r="AV393">
        <v>27</v>
      </c>
      <c r="AW393">
        <v>7</v>
      </c>
      <c r="AX393" t="s">
        <v>74</v>
      </c>
      <c r="AY393" t="s">
        <v>74</v>
      </c>
      <c r="AZ393" t="s">
        <v>74</v>
      </c>
      <c r="BA393" t="s">
        <v>74</v>
      </c>
      <c r="BB393">
        <v>668</v>
      </c>
      <c r="BC393">
        <v>668</v>
      </c>
      <c r="BD393" t="s">
        <v>74</v>
      </c>
      <c r="BE393" t="s">
        <v>74</v>
      </c>
      <c r="BF393" t="s">
        <v>74</v>
      </c>
      <c r="BG393" t="s">
        <v>74</v>
      </c>
      <c r="BH393" t="s">
        <v>74</v>
      </c>
      <c r="BI393">
        <v>1</v>
      </c>
      <c r="BJ393" t="s">
        <v>388</v>
      </c>
      <c r="BK393" t="s">
        <v>96</v>
      </c>
      <c r="BL393" t="s">
        <v>388</v>
      </c>
      <c r="BM393" t="s">
        <v>5412</v>
      </c>
      <c r="BN393" t="s">
        <v>74</v>
      </c>
      <c r="BO393" t="s">
        <v>74</v>
      </c>
      <c r="BP393" t="s">
        <v>74</v>
      </c>
      <c r="BQ393" t="s">
        <v>74</v>
      </c>
      <c r="BR393" t="s">
        <v>99</v>
      </c>
      <c r="BS393" t="s">
        <v>5413</v>
      </c>
      <c r="BT393" t="str">
        <f>HYPERLINK("https%3A%2F%2Fwww.webofscience.com%2Fwos%2Fwoscc%2Ffull-record%2FWOS:000081167900028","View Full Record in Web of Science")</f>
        <v>View Full Record in Web of Science</v>
      </c>
    </row>
    <row r="394" spans="1:72" x14ac:dyDescent="0.15">
      <c r="A394" t="s">
        <v>72</v>
      </c>
      <c r="B394" t="s">
        <v>5414</v>
      </c>
      <c r="C394" t="s">
        <v>74</v>
      </c>
      <c r="D394" t="s">
        <v>74</v>
      </c>
      <c r="E394" t="s">
        <v>74</v>
      </c>
      <c r="F394" t="s">
        <v>5414</v>
      </c>
      <c r="G394" t="s">
        <v>74</v>
      </c>
      <c r="H394" t="s">
        <v>74</v>
      </c>
      <c r="I394" t="s">
        <v>5415</v>
      </c>
      <c r="J394" t="s">
        <v>5416</v>
      </c>
      <c r="K394" t="s">
        <v>74</v>
      </c>
      <c r="L394" t="s">
        <v>74</v>
      </c>
      <c r="M394" t="s">
        <v>77</v>
      </c>
      <c r="N394" t="s">
        <v>78</v>
      </c>
      <c r="O394" t="s">
        <v>74</v>
      </c>
      <c r="P394" t="s">
        <v>74</v>
      </c>
      <c r="Q394" t="s">
        <v>74</v>
      </c>
      <c r="R394" t="s">
        <v>74</v>
      </c>
      <c r="S394" t="s">
        <v>74</v>
      </c>
      <c r="T394" t="s">
        <v>5417</v>
      </c>
      <c r="U394" t="s">
        <v>5418</v>
      </c>
      <c r="V394" t="s">
        <v>5419</v>
      </c>
      <c r="W394" t="s">
        <v>5420</v>
      </c>
      <c r="X394" t="s">
        <v>5421</v>
      </c>
      <c r="Y394" t="s">
        <v>5422</v>
      </c>
      <c r="Z394" t="s">
        <v>5423</v>
      </c>
      <c r="AA394" t="s">
        <v>74</v>
      </c>
      <c r="AB394" t="s">
        <v>74</v>
      </c>
      <c r="AC394" t="s">
        <v>74</v>
      </c>
      <c r="AD394" t="s">
        <v>74</v>
      </c>
      <c r="AE394" t="s">
        <v>74</v>
      </c>
      <c r="AF394" t="s">
        <v>74</v>
      </c>
      <c r="AG394">
        <v>67</v>
      </c>
      <c r="AH394">
        <v>58</v>
      </c>
      <c r="AI394">
        <v>67</v>
      </c>
      <c r="AJ394">
        <v>0</v>
      </c>
      <c r="AK394">
        <v>16</v>
      </c>
      <c r="AL394" t="s">
        <v>1263</v>
      </c>
      <c r="AM394" t="s">
        <v>211</v>
      </c>
      <c r="AN394" t="s">
        <v>1264</v>
      </c>
      <c r="AO394" t="s">
        <v>5424</v>
      </c>
      <c r="AP394" t="s">
        <v>5425</v>
      </c>
      <c r="AQ394" t="s">
        <v>74</v>
      </c>
      <c r="AR394" t="s">
        <v>5416</v>
      </c>
      <c r="AS394" t="s">
        <v>5426</v>
      </c>
      <c r="AT394" t="s">
        <v>5141</v>
      </c>
      <c r="AU394">
        <v>1999</v>
      </c>
      <c r="AV394">
        <v>28</v>
      </c>
      <c r="AW394" t="s">
        <v>141</v>
      </c>
      <c r="AX394" t="s">
        <v>74</v>
      </c>
      <c r="AY394" t="s">
        <v>74</v>
      </c>
      <c r="AZ394" t="s">
        <v>74</v>
      </c>
      <c r="BA394" t="s">
        <v>74</v>
      </c>
      <c r="BB394">
        <v>181</v>
      </c>
      <c r="BC394">
        <v>200</v>
      </c>
      <c r="BD394" t="s">
        <v>74</v>
      </c>
      <c r="BE394" t="s">
        <v>5427</v>
      </c>
      <c r="BF394" t="str">
        <f>HYPERLINK("http://dx.doi.org/10.1016/S0169-555X(98)00108-1","http://dx.doi.org/10.1016/S0169-555X(98)00108-1")</f>
        <v>http://dx.doi.org/10.1016/S0169-555X(98)00108-1</v>
      </c>
      <c r="BG394" t="s">
        <v>74</v>
      </c>
      <c r="BH394" t="s">
        <v>74</v>
      </c>
      <c r="BI394">
        <v>20</v>
      </c>
      <c r="BJ394" t="s">
        <v>2151</v>
      </c>
      <c r="BK394" t="s">
        <v>96</v>
      </c>
      <c r="BL394" t="s">
        <v>2152</v>
      </c>
      <c r="BM394" t="s">
        <v>5428</v>
      </c>
      <c r="BN394" t="s">
        <v>74</v>
      </c>
      <c r="BO394" t="s">
        <v>74</v>
      </c>
      <c r="BP394" t="s">
        <v>74</v>
      </c>
      <c r="BQ394" t="s">
        <v>74</v>
      </c>
      <c r="BR394" t="s">
        <v>99</v>
      </c>
      <c r="BS394" t="s">
        <v>5429</v>
      </c>
      <c r="BT394" t="str">
        <f>HYPERLINK("https%3A%2F%2Fwww.webofscience.com%2Fwos%2Fwoscc%2Ffull-record%2FWOS:000081873900001","View Full Record in Web of Science")</f>
        <v>View Full Record in Web of Science</v>
      </c>
    </row>
    <row r="395" spans="1:72" x14ac:dyDescent="0.15">
      <c r="A395" t="s">
        <v>72</v>
      </c>
      <c r="B395" t="s">
        <v>5430</v>
      </c>
      <c r="C395" t="s">
        <v>74</v>
      </c>
      <c r="D395" t="s">
        <v>74</v>
      </c>
      <c r="E395" t="s">
        <v>74</v>
      </c>
      <c r="F395" t="s">
        <v>5430</v>
      </c>
      <c r="G395" t="s">
        <v>74</v>
      </c>
      <c r="H395" t="s">
        <v>74</v>
      </c>
      <c r="I395" t="s">
        <v>5431</v>
      </c>
      <c r="J395" t="s">
        <v>378</v>
      </c>
      <c r="K395" t="s">
        <v>74</v>
      </c>
      <c r="L395" t="s">
        <v>74</v>
      </c>
      <c r="M395" t="s">
        <v>77</v>
      </c>
      <c r="N395" t="s">
        <v>78</v>
      </c>
      <c r="O395" t="s">
        <v>74</v>
      </c>
      <c r="P395" t="s">
        <v>74</v>
      </c>
      <c r="Q395" t="s">
        <v>74</v>
      </c>
      <c r="R395" t="s">
        <v>74</v>
      </c>
      <c r="S395" t="s">
        <v>74</v>
      </c>
      <c r="T395" t="s">
        <v>74</v>
      </c>
      <c r="U395" t="s">
        <v>5432</v>
      </c>
      <c r="V395" t="s">
        <v>5433</v>
      </c>
      <c r="W395" t="s">
        <v>5434</v>
      </c>
      <c r="X395" t="s">
        <v>5435</v>
      </c>
      <c r="Y395" t="s">
        <v>5436</v>
      </c>
      <c r="Z395" t="s">
        <v>5437</v>
      </c>
      <c r="AA395" t="s">
        <v>5438</v>
      </c>
      <c r="AB395" t="s">
        <v>74</v>
      </c>
      <c r="AC395" t="s">
        <v>74</v>
      </c>
      <c r="AD395" t="s">
        <v>74</v>
      </c>
      <c r="AE395" t="s">
        <v>74</v>
      </c>
      <c r="AF395" t="s">
        <v>74</v>
      </c>
      <c r="AG395">
        <v>24</v>
      </c>
      <c r="AH395">
        <v>45</v>
      </c>
      <c r="AI395">
        <v>50</v>
      </c>
      <c r="AJ395">
        <v>0</v>
      </c>
      <c r="AK395">
        <v>13</v>
      </c>
      <c r="AL395" t="s">
        <v>230</v>
      </c>
      <c r="AM395" t="s">
        <v>231</v>
      </c>
      <c r="AN395" t="s">
        <v>232</v>
      </c>
      <c r="AO395" t="s">
        <v>382</v>
      </c>
      <c r="AP395" t="s">
        <v>2753</v>
      </c>
      <c r="AQ395" t="s">
        <v>74</v>
      </c>
      <c r="AR395" t="s">
        <v>383</v>
      </c>
      <c r="AS395" t="s">
        <v>384</v>
      </c>
      <c r="AT395" t="s">
        <v>5439</v>
      </c>
      <c r="AU395">
        <v>1999</v>
      </c>
      <c r="AV395">
        <v>26</v>
      </c>
      <c r="AW395">
        <v>13</v>
      </c>
      <c r="AX395" t="s">
        <v>74</v>
      </c>
      <c r="AY395" t="s">
        <v>74</v>
      </c>
      <c r="AZ395" t="s">
        <v>74</v>
      </c>
      <c r="BA395" t="s">
        <v>74</v>
      </c>
      <c r="BB395">
        <v>1897</v>
      </c>
      <c r="BC395">
        <v>1900</v>
      </c>
      <c r="BD395" t="s">
        <v>74</v>
      </c>
      <c r="BE395" t="s">
        <v>5440</v>
      </c>
      <c r="BF395" t="str">
        <f>HYPERLINK("http://dx.doi.org/10.1029/1999GL900446","http://dx.doi.org/10.1029/1999GL900446")</f>
        <v>http://dx.doi.org/10.1029/1999GL900446</v>
      </c>
      <c r="BG395" t="s">
        <v>74</v>
      </c>
      <c r="BH395" t="s">
        <v>74</v>
      </c>
      <c r="BI395">
        <v>4</v>
      </c>
      <c r="BJ395" t="s">
        <v>387</v>
      </c>
      <c r="BK395" t="s">
        <v>96</v>
      </c>
      <c r="BL395" t="s">
        <v>388</v>
      </c>
      <c r="BM395" t="s">
        <v>5441</v>
      </c>
      <c r="BN395" t="s">
        <v>74</v>
      </c>
      <c r="BO395" t="s">
        <v>250</v>
      </c>
      <c r="BP395" t="s">
        <v>74</v>
      </c>
      <c r="BQ395" t="s">
        <v>74</v>
      </c>
      <c r="BR395" t="s">
        <v>99</v>
      </c>
      <c r="BS395" t="s">
        <v>5442</v>
      </c>
      <c r="BT395" t="str">
        <f>HYPERLINK("https%3A%2F%2Fwww.webofscience.com%2Fwos%2Fwoscc%2Ffull-record%2FWOS:000081290000029","View Full Record in Web of Science")</f>
        <v>View Full Record in Web of Science</v>
      </c>
    </row>
    <row r="396" spans="1:72" x14ac:dyDescent="0.15">
      <c r="A396" t="s">
        <v>72</v>
      </c>
      <c r="B396" t="s">
        <v>3086</v>
      </c>
      <c r="C396" t="s">
        <v>74</v>
      </c>
      <c r="D396" t="s">
        <v>74</v>
      </c>
      <c r="E396" t="s">
        <v>74</v>
      </c>
      <c r="F396" t="s">
        <v>3086</v>
      </c>
      <c r="G396" t="s">
        <v>74</v>
      </c>
      <c r="H396" t="s">
        <v>74</v>
      </c>
      <c r="I396" t="s">
        <v>5443</v>
      </c>
      <c r="J396" t="s">
        <v>2132</v>
      </c>
      <c r="K396" t="s">
        <v>74</v>
      </c>
      <c r="L396" t="s">
        <v>74</v>
      </c>
      <c r="M396" t="s">
        <v>77</v>
      </c>
      <c r="N396" t="s">
        <v>78</v>
      </c>
      <c r="O396" t="s">
        <v>74</v>
      </c>
      <c r="P396" t="s">
        <v>74</v>
      </c>
      <c r="Q396" t="s">
        <v>74</v>
      </c>
      <c r="R396" t="s">
        <v>74</v>
      </c>
      <c r="S396" t="s">
        <v>74</v>
      </c>
      <c r="T396" t="s">
        <v>5444</v>
      </c>
      <c r="U396" t="s">
        <v>5445</v>
      </c>
      <c r="V396" t="s">
        <v>5446</v>
      </c>
      <c r="W396" t="s">
        <v>1928</v>
      </c>
      <c r="X396" t="s">
        <v>131</v>
      </c>
      <c r="Y396" t="s">
        <v>5447</v>
      </c>
      <c r="Z396" t="s">
        <v>74</v>
      </c>
      <c r="AA396" t="s">
        <v>74</v>
      </c>
      <c r="AB396" t="s">
        <v>74</v>
      </c>
      <c r="AC396" t="s">
        <v>74</v>
      </c>
      <c r="AD396" t="s">
        <v>74</v>
      </c>
      <c r="AE396" t="s">
        <v>74</v>
      </c>
      <c r="AF396" t="s">
        <v>74</v>
      </c>
      <c r="AG396">
        <v>94</v>
      </c>
      <c r="AH396">
        <v>62</v>
      </c>
      <c r="AI396">
        <v>65</v>
      </c>
      <c r="AJ396">
        <v>1</v>
      </c>
      <c r="AK396">
        <v>11</v>
      </c>
      <c r="AL396" t="s">
        <v>210</v>
      </c>
      <c r="AM396" t="s">
        <v>211</v>
      </c>
      <c r="AN396" t="s">
        <v>212</v>
      </c>
      <c r="AO396" t="s">
        <v>2145</v>
      </c>
      <c r="AP396" t="s">
        <v>2146</v>
      </c>
      <c r="AQ396" t="s">
        <v>74</v>
      </c>
      <c r="AR396" t="s">
        <v>2147</v>
      </c>
      <c r="AS396" t="s">
        <v>2148</v>
      </c>
      <c r="AT396" t="s">
        <v>5141</v>
      </c>
      <c r="AU396">
        <v>1999</v>
      </c>
      <c r="AV396">
        <v>21</v>
      </c>
      <c r="AW396" t="s">
        <v>2622</v>
      </c>
      <c r="AX396" t="s">
        <v>74</v>
      </c>
      <c r="AY396" t="s">
        <v>74</v>
      </c>
      <c r="AZ396" t="s">
        <v>74</v>
      </c>
      <c r="BA396" t="s">
        <v>74</v>
      </c>
      <c r="BB396">
        <v>51</v>
      </c>
      <c r="BC396">
        <v>70</v>
      </c>
      <c r="BD396" t="s">
        <v>74</v>
      </c>
      <c r="BE396" t="s">
        <v>5448</v>
      </c>
      <c r="BF396" t="str">
        <f>HYPERLINK("http://dx.doi.org/10.1016/S0921-8181(99)00007-7","http://dx.doi.org/10.1016/S0921-8181(99)00007-7")</f>
        <v>http://dx.doi.org/10.1016/S0921-8181(99)00007-7</v>
      </c>
      <c r="BG396" t="s">
        <v>74</v>
      </c>
      <c r="BH396" t="s">
        <v>74</v>
      </c>
      <c r="BI396">
        <v>20</v>
      </c>
      <c r="BJ396" t="s">
        <v>2151</v>
      </c>
      <c r="BK396" t="s">
        <v>96</v>
      </c>
      <c r="BL396" t="s">
        <v>2152</v>
      </c>
      <c r="BM396" t="s">
        <v>5449</v>
      </c>
      <c r="BN396" t="s">
        <v>74</v>
      </c>
      <c r="BO396" t="s">
        <v>74</v>
      </c>
      <c r="BP396" t="s">
        <v>74</v>
      </c>
      <c r="BQ396" t="s">
        <v>74</v>
      </c>
      <c r="BR396" t="s">
        <v>99</v>
      </c>
      <c r="BS396" t="s">
        <v>5450</v>
      </c>
      <c r="BT396" t="str">
        <f>HYPERLINK("https%3A%2F%2Fwww.webofscience.com%2Fwos%2Fwoscc%2Ffull-record%2FWOS:000082663200006","View Full Record in Web of Science")</f>
        <v>View Full Record in Web of Science</v>
      </c>
    </row>
    <row r="397" spans="1:72" x14ac:dyDescent="0.15">
      <c r="A397" t="s">
        <v>72</v>
      </c>
      <c r="B397" t="s">
        <v>5451</v>
      </c>
      <c r="C397" t="s">
        <v>74</v>
      </c>
      <c r="D397" t="s">
        <v>74</v>
      </c>
      <c r="E397" t="s">
        <v>74</v>
      </c>
      <c r="F397" t="s">
        <v>5451</v>
      </c>
      <c r="G397" t="s">
        <v>74</v>
      </c>
      <c r="H397" t="s">
        <v>74</v>
      </c>
      <c r="I397" t="s">
        <v>5452</v>
      </c>
      <c r="J397" t="s">
        <v>3295</v>
      </c>
      <c r="K397" t="s">
        <v>74</v>
      </c>
      <c r="L397" t="s">
        <v>74</v>
      </c>
      <c r="M397" t="s">
        <v>77</v>
      </c>
      <c r="N397" t="s">
        <v>78</v>
      </c>
      <c r="O397" t="s">
        <v>74</v>
      </c>
      <c r="P397" t="s">
        <v>74</v>
      </c>
      <c r="Q397" t="s">
        <v>74</v>
      </c>
      <c r="R397" t="s">
        <v>74</v>
      </c>
      <c r="S397" t="s">
        <v>74</v>
      </c>
      <c r="T397" t="s">
        <v>5453</v>
      </c>
      <c r="U397" t="s">
        <v>5454</v>
      </c>
      <c r="V397" t="s">
        <v>5455</v>
      </c>
      <c r="W397" t="s">
        <v>5456</v>
      </c>
      <c r="X397" t="s">
        <v>4828</v>
      </c>
      <c r="Y397" t="s">
        <v>3301</v>
      </c>
      <c r="Z397" t="s">
        <v>74</v>
      </c>
      <c r="AA397" t="s">
        <v>5457</v>
      </c>
      <c r="AB397" t="s">
        <v>5458</v>
      </c>
      <c r="AC397" t="s">
        <v>74</v>
      </c>
      <c r="AD397" t="s">
        <v>74</v>
      </c>
      <c r="AE397" t="s">
        <v>74</v>
      </c>
      <c r="AF397" t="s">
        <v>74</v>
      </c>
      <c r="AG397">
        <v>52</v>
      </c>
      <c r="AH397">
        <v>57</v>
      </c>
      <c r="AI397">
        <v>65</v>
      </c>
      <c r="AJ397">
        <v>0</v>
      </c>
      <c r="AK397">
        <v>9</v>
      </c>
      <c r="AL397" t="s">
        <v>3304</v>
      </c>
      <c r="AM397" t="s">
        <v>531</v>
      </c>
      <c r="AN397" t="s">
        <v>3305</v>
      </c>
      <c r="AO397" t="s">
        <v>3306</v>
      </c>
      <c r="AP397" t="s">
        <v>74</v>
      </c>
      <c r="AQ397" t="s">
        <v>74</v>
      </c>
      <c r="AR397" t="s">
        <v>3295</v>
      </c>
      <c r="AS397" t="s">
        <v>3307</v>
      </c>
      <c r="AT397" t="s">
        <v>5141</v>
      </c>
      <c r="AU397">
        <v>1999</v>
      </c>
      <c r="AV397">
        <v>9</v>
      </c>
      <c r="AW397">
        <v>4</v>
      </c>
      <c r="AX397" t="s">
        <v>74</v>
      </c>
      <c r="AY397" t="s">
        <v>74</v>
      </c>
      <c r="AZ397" t="s">
        <v>74</v>
      </c>
      <c r="BA397" t="s">
        <v>74</v>
      </c>
      <c r="BB397">
        <v>401</v>
      </c>
      <c r="BC397">
        <v>408</v>
      </c>
      <c r="BD397" t="s">
        <v>74</v>
      </c>
      <c r="BE397" t="s">
        <v>5459</v>
      </c>
      <c r="BF397" t="str">
        <f>HYPERLINK("http://dx.doi.org/10.1191/095968399671725699","http://dx.doi.org/10.1191/095968399671725699")</f>
        <v>http://dx.doi.org/10.1191/095968399671725699</v>
      </c>
      <c r="BG397" t="s">
        <v>74</v>
      </c>
      <c r="BH397" t="s">
        <v>74</v>
      </c>
      <c r="BI397">
        <v>8</v>
      </c>
      <c r="BJ397" t="s">
        <v>2151</v>
      </c>
      <c r="BK397" t="s">
        <v>96</v>
      </c>
      <c r="BL397" t="s">
        <v>2152</v>
      </c>
      <c r="BM397" t="s">
        <v>5460</v>
      </c>
      <c r="BN397" t="s">
        <v>74</v>
      </c>
      <c r="BO397" t="s">
        <v>74</v>
      </c>
      <c r="BP397" t="s">
        <v>74</v>
      </c>
      <c r="BQ397" t="s">
        <v>74</v>
      </c>
      <c r="BR397" t="s">
        <v>99</v>
      </c>
      <c r="BS397" t="s">
        <v>5461</v>
      </c>
      <c r="BT397" t="str">
        <f>HYPERLINK("https%3A%2F%2Fwww.webofscience.com%2Fwos%2Fwoscc%2Ffull-record%2FWOS:000081526000002","View Full Record in Web of Science")</f>
        <v>View Full Record in Web of Science</v>
      </c>
    </row>
    <row r="398" spans="1:72" x14ac:dyDescent="0.15">
      <c r="A398" t="s">
        <v>72</v>
      </c>
      <c r="B398" t="s">
        <v>2198</v>
      </c>
      <c r="C398" t="s">
        <v>74</v>
      </c>
      <c r="D398" t="s">
        <v>74</v>
      </c>
      <c r="E398" t="s">
        <v>74</v>
      </c>
      <c r="F398" t="s">
        <v>2198</v>
      </c>
      <c r="G398" t="s">
        <v>74</v>
      </c>
      <c r="H398" t="s">
        <v>74</v>
      </c>
      <c r="I398" t="s">
        <v>5462</v>
      </c>
      <c r="J398" t="s">
        <v>5463</v>
      </c>
      <c r="K398" t="s">
        <v>74</v>
      </c>
      <c r="L398" t="s">
        <v>74</v>
      </c>
      <c r="M398" t="s">
        <v>77</v>
      </c>
      <c r="N398" t="s">
        <v>78</v>
      </c>
      <c r="O398" t="s">
        <v>74</v>
      </c>
      <c r="P398" t="s">
        <v>74</v>
      </c>
      <c r="Q398" t="s">
        <v>74</v>
      </c>
      <c r="R398" t="s">
        <v>74</v>
      </c>
      <c r="S398" t="s">
        <v>74</v>
      </c>
      <c r="T398" t="s">
        <v>74</v>
      </c>
      <c r="U398" t="s">
        <v>5464</v>
      </c>
      <c r="V398" t="s">
        <v>74</v>
      </c>
      <c r="W398" t="s">
        <v>525</v>
      </c>
      <c r="X398" t="s">
        <v>74</v>
      </c>
      <c r="Y398" t="s">
        <v>5465</v>
      </c>
      <c r="Z398" t="s">
        <v>74</v>
      </c>
      <c r="AA398" t="s">
        <v>528</v>
      </c>
      <c r="AB398" t="s">
        <v>529</v>
      </c>
      <c r="AC398" t="s">
        <v>74</v>
      </c>
      <c r="AD398" t="s">
        <v>74</v>
      </c>
      <c r="AE398" t="s">
        <v>74</v>
      </c>
      <c r="AF398" t="s">
        <v>74</v>
      </c>
      <c r="AG398">
        <v>20</v>
      </c>
      <c r="AH398">
        <v>9</v>
      </c>
      <c r="AI398">
        <v>10</v>
      </c>
      <c r="AJ398">
        <v>0</v>
      </c>
      <c r="AK398">
        <v>4</v>
      </c>
      <c r="AL398" t="s">
        <v>5466</v>
      </c>
      <c r="AM398" t="s">
        <v>5467</v>
      </c>
      <c r="AN398" t="s">
        <v>5468</v>
      </c>
      <c r="AO398" t="s">
        <v>5469</v>
      </c>
      <c r="AP398" t="s">
        <v>74</v>
      </c>
      <c r="AQ398" t="s">
        <v>74</v>
      </c>
      <c r="AR398" t="s">
        <v>5463</v>
      </c>
      <c r="AS398" t="s">
        <v>5470</v>
      </c>
      <c r="AT398" t="s">
        <v>5141</v>
      </c>
      <c r="AU398">
        <v>1999</v>
      </c>
      <c r="AV398">
        <v>141</v>
      </c>
      <c r="AW398">
        <v>3</v>
      </c>
      <c r="AX398" t="s">
        <v>74</v>
      </c>
      <c r="AY398" t="s">
        <v>74</v>
      </c>
      <c r="AZ398" t="s">
        <v>74</v>
      </c>
      <c r="BA398" t="s">
        <v>74</v>
      </c>
      <c r="BB398">
        <v>500</v>
      </c>
      <c r="BC398">
        <v>502</v>
      </c>
      <c r="BD398" t="s">
        <v>74</v>
      </c>
      <c r="BE398" t="s">
        <v>5471</v>
      </c>
      <c r="BF398" t="str">
        <f>HYPERLINK("http://dx.doi.org/10.1111/j.1474-919X.1999.tb04421.x","http://dx.doi.org/10.1111/j.1474-919X.1999.tb04421.x")</f>
        <v>http://dx.doi.org/10.1111/j.1474-919X.1999.tb04421.x</v>
      </c>
      <c r="BG398" t="s">
        <v>74</v>
      </c>
      <c r="BH398" t="s">
        <v>74</v>
      </c>
      <c r="BI398">
        <v>3</v>
      </c>
      <c r="BJ398" t="s">
        <v>2212</v>
      </c>
      <c r="BK398" t="s">
        <v>96</v>
      </c>
      <c r="BL398" t="s">
        <v>142</v>
      </c>
      <c r="BM398" t="s">
        <v>5472</v>
      </c>
      <c r="BN398" t="s">
        <v>74</v>
      </c>
      <c r="BO398" t="s">
        <v>74</v>
      </c>
      <c r="BP398" t="s">
        <v>74</v>
      </c>
      <c r="BQ398" t="s">
        <v>74</v>
      </c>
      <c r="BR398" t="s">
        <v>99</v>
      </c>
      <c r="BS398" t="s">
        <v>5473</v>
      </c>
      <c r="BT398" t="str">
        <f>HYPERLINK("https%3A%2F%2Fwww.webofscience.com%2Fwos%2Fwoscc%2Ffull-record%2FWOS:000081368200017","View Full Record in Web of Science")</f>
        <v>View Full Record in Web of Science</v>
      </c>
    </row>
    <row r="399" spans="1:72" x14ac:dyDescent="0.15">
      <c r="A399" t="s">
        <v>72</v>
      </c>
      <c r="B399" t="s">
        <v>5474</v>
      </c>
      <c r="C399" t="s">
        <v>74</v>
      </c>
      <c r="D399" t="s">
        <v>74</v>
      </c>
      <c r="E399" t="s">
        <v>74</v>
      </c>
      <c r="F399" t="s">
        <v>5474</v>
      </c>
      <c r="G399" t="s">
        <v>74</v>
      </c>
      <c r="H399" t="s">
        <v>74</v>
      </c>
      <c r="I399" t="s">
        <v>5475</v>
      </c>
      <c r="J399" t="s">
        <v>5476</v>
      </c>
      <c r="K399" t="s">
        <v>74</v>
      </c>
      <c r="L399" t="s">
        <v>74</v>
      </c>
      <c r="M399" t="s">
        <v>77</v>
      </c>
      <c r="N399" t="s">
        <v>78</v>
      </c>
      <c r="O399" t="s">
        <v>74</v>
      </c>
      <c r="P399" t="s">
        <v>74</v>
      </c>
      <c r="Q399" t="s">
        <v>74</v>
      </c>
      <c r="R399" t="s">
        <v>74</v>
      </c>
      <c r="S399" t="s">
        <v>74</v>
      </c>
      <c r="T399" t="s">
        <v>74</v>
      </c>
      <c r="U399" t="s">
        <v>5477</v>
      </c>
      <c r="V399" t="s">
        <v>5478</v>
      </c>
      <c r="W399" t="s">
        <v>5479</v>
      </c>
      <c r="X399" t="s">
        <v>5480</v>
      </c>
      <c r="Y399" t="s">
        <v>5481</v>
      </c>
      <c r="Z399" t="s">
        <v>74</v>
      </c>
      <c r="AA399" t="s">
        <v>74</v>
      </c>
      <c r="AB399" t="s">
        <v>74</v>
      </c>
      <c r="AC399" t="s">
        <v>74</v>
      </c>
      <c r="AD399" t="s">
        <v>74</v>
      </c>
      <c r="AE399" t="s">
        <v>74</v>
      </c>
      <c r="AF399" t="s">
        <v>74</v>
      </c>
      <c r="AG399">
        <v>23</v>
      </c>
      <c r="AH399">
        <v>8</v>
      </c>
      <c r="AI399">
        <v>10</v>
      </c>
      <c r="AJ399">
        <v>0</v>
      </c>
      <c r="AK399">
        <v>6</v>
      </c>
      <c r="AL399" t="s">
        <v>5232</v>
      </c>
      <c r="AM399" t="s">
        <v>5233</v>
      </c>
      <c r="AN399" t="s">
        <v>5234</v>
      </c>
      <c r="AO399" t="s">
        <v>5482</v>
      </c>
      <c r="AP399" t="s">
        <v>74</v>
      </c>
      <c r="AQ399" t="s">
        <v>74</v>
      </c>
      <c r="AR399" t="s">
        <v>5483</v>
      </c>
      <c r="AS399" t="s">
        <v>5484</v>
      </c>
      <c r="AT399" t="s">
        <v>5141</v>
      </c>
      <c r="AU399">
        <v>1999</v>
      </c>
      <c r="AV399">
        <v>50</v>
      </c>
      <c r="AW399">
        <v>4</v>
      </c>
      <c r="AX399" t="s">
        <v>74</v>
      </c>
      <c r="AY399" t="s">
        <v>74</v>
      </c>
      <c r="AZ399" t="s">
        <v>74</v>
      </c>
      <c r="BA399" t="s">
        <v>74</v>
      </c>
      <c r="BB399">
        <v>297</v>
      </c>
      <c r="BC399">
        <v>302</v>
      </c>
      <c r="BD399" t="s">
        <v>74</v>
      </c>
      <c r="BE399" t="s">
        <v>74</v>
      </c>
      <c r="BF399" t="s">
        <v>74</v>
      </c>
      <c r="BG399" t="s">
        <v>74</v>
      </c>
      <c r="BH399" t="s">
        <v>74</v>
      </c>
      <c r="BI399">
        <v>6</v>
      </c>
      <c r="BJ399" t="s">
        <v>5485</v>
      </c>
      <c r="BK399" t="s">
        <v>96</v>
      </c>
      <c r="BL399" t="s">
        <v>5485</v>
      </c>
      <c r="BM399" t="s">
        <v>5486</v>
      </c>
      <c r="BN399">
        <v>10719576</v>
      </c>
      <c r="BO399" t="s">
        <v>74</v>
      </c>
      <c r="BP399" t="s">
        <v>74</v>
      </c>
      <c r="BQ399" t="s">
        <v>74</v>
      </c>
      <c r="BR399" t="s">
        <v>99</v>
      </c>
      <c r="BS399" t="s">
        <v>5487</v>
      </c>
      <c r="BT399" t="str">
        <f>HYPERLINK("https%3A%2F%2Fwww.webofscience.com%2Fwos%2Fwoscc%2Ffull-record%2FWOS:000081712200009","View Full Record in Web of Science")</f>
        <v>View Full Record in Web of Science</v>
      </c>
    </row>
    <row r="400" spans="1:72" x14ac:dyDescent="0.15">
      <c r="A400" t="s">
        <v>72</v>
      </c>
      <c r="B400" t="s">
        <v>5488</v>
      </c>
      <c r="C400" t="s">
        <v>74</v>
      </c>
      <c r="D400" t="s">
        <v>74</v>
      </c>
      <c r="E400" t="s">
        <v>74</v>
      </c>
      <c r="F400" t="s">
        <v>5488</v>
      </c>
      <c r="G400" t="s">
        <v>74</v>
      </c>
      <c r="H400" t="s">
        <v>74</v>
      </c>
      <c r="I400" t="s">
        <v>5489</v>
      </c>
      <c r="J400" t="s">
        <v>5490</v>
      </c>
      <c r="K400" t="s">
        <v>74</v>
      </c>
      <c r="L400" t="s">
        <v>74</v>
      </c>
      <c r="M400" t="s">
        <v>77</v>
      </c>
      <c r="N400" t="s">
        <v>205</v>
      </c>
      <c r="O400" t="s">
        <v>74</v>
      </c>
      <c r="P400" t="s">
        <v>74</v>
      </c>
      <c r="Q400" t="s">
        <v>74</v>
      </c>
      <c r="R400" t="s">
        <v>74</v>
      </c>
      <c r="S400" t="s">
        <v>74</v>
      </c>
      <c r="T400" t="s">
        <v>74</v>
      </c>
      <c r="U400" t="s">
        <v>74</v>
      </c>
      <c r="V400" t="s">
        <v>74</v>
      </c>
      <c r="W400" t="s">
        <v>5491</v>
      </c>
      <c r="X400" t="s">
        <v>5492</v>
      </c>
      <c r="Y400" t="s">
        <v>5493</v>
      </c>
      <c r="Z400" t="s">
        <v>74</v>
      </c>
      <c r="AA400" t="s">
        <v>5494</v>
      </c>
      <c r="AB400" t="s">
        <v>5495</v>
      </c>
      <c r="AC400" t="s">
        <v>74</v>
      </c>
      <c r="AD400" t="s">
        <v>74</v>
      </c>
      <c r="AE400" t="s">
        <v>74</v>
      </c>
      <c r="AF400" t="s">
        <v>74</v>
      </c>
      <c r="AG400">
        <v>0</v>
      </c>
      <c r="AH400">
        <v>2</v>
      </c>
      <c r="AI400">
        <v>2</v>
      </c>
      <c r="AJ400">
        <v>0</v>
      </c>
      <c r="AK400">
        <v>0</v>
      </c>
      <c r="AL400" t="s">
        <v>275</v>
      </c>
      <c r="AM400" t="s">
        <v>276</v>
      </c>
      <c r="AN400" t="s">
        <v>277</v>
      </c>
      <c r="AO400" t="s">
        <v>5496</v>
      </c>
      <c r="AP400" t="s">
        <v>5497</v>
      </c>
      <c r="AQ400" t="s">
        <v>74</v>
      </c>
      <c r="AR400" t="s">
        <v>5498</v>
      </c>
      <c r="AS400" t="s">
        <v>5499</v>
      </c>
      <c r="AT400" t="s">
        <v>5141</v>
      </c>
      <c r="AU400">
        <v>1999</v>
      </c>
      <c r="AV400">
        <v>29</v>
      </c>
      <c r="AW400">
        <v>1</v>
      </c>
      <c r="AX400" t="s">
        <v>74</v>
      </c>
      <c r="AY400" t="s">
        <v>74</v>
      </c>
      <c r="AZ400" t="s">
        <v>74</v>
      </c>
      <c r="BA400" t="s">
        <v>74</v>
      </c>
      <c r="BB400">
        <v>1</v>
      </c>
      <c r="BC400">
        <v>1</v>
      </c>
      <c r="BD400" t="s">
        <v>74</v>
      </c>
      <c r="BE400" t="s">
        <v>5500</v>
      </c>
      <c r="BF400" t="str">
        <f>HYPERLINK("http://dx.doi.org/10.1016/S0899-5362(99)00075-5","http://dx.doi.org/10.1016/S0899-5362(99)00075-5")</f>
        <v>http://dx.doi.org/10.1016/S0899-5362(99)00075-5</v>
      </c>
      <c r="BG400" t="s">
        <v>74</v>
      </c>
      <c r="BH400" t="s">
        <v>74</v>
      </c>
      <c r="BI400">
        <v>1</v>
      </c>
      <c r="BJ400" t="s">
        <v>387</v>
      </c>
      <c r="BK400" t="s">
        <v>96</v>
      </c>
      <c r="BL400" t="s">
        <v>388</v>
      </c>
      <c r="BM400" t="s">
        <v>5501</v>
      </c>
      <c r="BN400" t="s">
        <v>74</v>
      </c>
      <c r="BO400" t="s">
        <v>74</v>
      </c>
      <c r="BP400" t="s">
        <v>74</v>
      </c>
      <c r="BQ400" t="s">
        <v>74</v>
      </c>
      <c r="BR400" t="s">
        <v>99</v>
      </c>
      <c r="BS400" t="s">
        <v>5502</v>
      </c>
      <c r="BT400" t="str">
        <f>HYPERLINK("https%3A%2F%2Fwww.webofscience.com%2Fwos%2Fwoscc%2Ffull-record%2FWOS:000084519100001","View Full Record in Web of Science")</f>
        <v>View Full Record in Web of Science</v>
      </c>
    </row>
    <row r="401" spans="1:72" x14ac:dyDescent="0.15">
      <c r="A401" t="s">
        <v>72</v>
      </c>
      <c r="B401" t="s">
        <v>5503</v>
      </c>
      <c r="C401" t="s">
        <v>74</v>
      </c>
      <c r="D401" t="s">
        <v>74</v>
      </c>
      <c r="E401" t="s">
        <v>74</v>
      </c>
      <c r="F401" t="s">
        <v>5503</v>
      </c>
      <c r="G401" t="s">
        <v>74</v>
      </c>
      <c r="H401" t="s">
        <v>74</v>
      </c>
      <c r="I401" t="s">
        <v>5504</v>
      </c>
      <c r="J401" t="s">
        <v>5490</v>
      </c>
      <c r="K401" t="s">
        <v>74</v>
      </c>
      <c r="L401" t="s">
        <v>74</v>
      </c>
      <c r="M401" t="s">
        <v>77</v>
      </c>
      <c r="N401" t="s">
        <v>78</v>
      </c>
      <c r="O401" t="s">
        <v>74</v>
      </c>
      <c r="P401" t="s">
        <v>74</v>
      </c>
      <c r="Q401" t="s">
        <v>74</v>
      </c>
      <c r="R401" t="s">
        <v>74</v>
      </c>
      <c r="S401" t="s">
        <v>74</v>
      </c>
      <c r="T401" t="s">
        <v>74</v>
      </c>
      <c r="U401" t="s">
        <v>5505</v>
      </c>
      <c r="V401" t="s">
        <v>5506</v>
      </c>
      <c r="W401" t="s">
        <v>1928</v>
      </c>
      <c r="X401" t="s">
        <v>131</v>
      </c>
      <c r="Y401" t="s">
        <v>5507</v>
      </c>
      <c r="Z401" t="s">
        <v>74</v>
      </c>
      <c r="AA401" t="s">
        <v>5508</v>
      </c>
      <c r="AB401" t="s">
        <v>74</v>
      </c>
      <c r="AC401" t="s">
        <v>74</v>
      </c>
      <c r="AD401" t="s">
        <v>74</v>
      </c>
      <c r="AE401" t="s">
        <v>74</v>
      </c>
      <c r="AF401" t="s">
        <v>74</v>
      </c>
      <c r="AG401">
        <v>47</v>
      </c>
      <c r="AH401">
        <v>44</v>
      </c>
      <c r="AI401">
        <v>45</v>
      </c>
      <c r="AJ401">
        <v>0</v>
      </c>
      <c r="AK401">
        <v>15</v>
      </c>
      <c r="AL401" t="s">
        <v>275</v>
      </c>
      <c r="AM401" t="s">
        <v>276</v>
      </c>
      <c r="AN401" t="s">
        <v>277</v>
      </c>
      <c r="AO401" t="s">
        <v>5509</v>
      </c>
      <c r="AP401" t="s">
        <v>74</v>
      </c>
      <c r="AQ401" t="s">
        <v>74</v>
      </c>
      <c r="AR401" t="s">
        <v>5498</v>
      </c>
      <c r="AS401" t="s">
        <v>5499</v>
      </c>
      <c r="AT401" t="s">
        <v>5141</v>
      </c>
      <c r="AU401">
        <v>1999</v>
      </c>
      <c r="AV401">
        <v>29</v>
      </c>
      <c r="AW401">
        <v>1</v>
      </c>
      <c r="AX401" t="s">
        <v>74</v>
      </c>
      <c r="AY401" t="s">
        <v>74</v>
      </c>
      <c r="AZ401" t="s">
        <v>74</v>
      </c>
      <c r="BA401" t="s">
        <v>74</v>
      </c>
      <c r="BB401">
        <v>153</v>
      </c>
      <c r="BC401">
        <v>163</v>
      </c>
      <c r="BD401" t="s">
        <v>74</v>
      </c>
      <c r="BE401" t="s">
        <v>5510</v>
      </c>
      <c r="BF401" t="str">
        <f>HYPERLINK("http://dx.doi.org/10.1016/S0899-5362(99)00086-X","http://dx.doi.org/10.1016/S0899-5362(99)00086-X")</f>
        <v>http://dx.doi.org/10.1016/S0899-5362(99)00086-X</v>
      </c>
      <c r="BG401" t="s">
        <v>74</v>
      </c>
      <c r="BH401" t="s">
        <v>74</v>
      </c>
      <c r="BI401">
        <v>11</v>
      </c>
      <c r="BJ401" t="s">
        <v>387</v>
      </c>
      <c r="BK401" t="s">
        <v>96</v>
      </c>
      <c r="BL401" t="s">
        <v>388</v>
      </c>
      <c r="BM401" t="s">
        <v>5501</v>
      </c>
      <c r="BN401" t="s">
        <v>74</v>
      </c>
      <c r="BO401" t="s">
        <v>74</v>
      </c>
      <c r="BP401" t="s">
        <v>74</v>
      </c>
      <c r="BQ401" t="s">
        <v>74</v>
      </c>
      <c r="BR401" t="s">
        <v>99</v>
      </c>
      <c r="BS401" t="s">
        <v>5511</v>
      </c>
      <c r="BT401" t="str">
        <f>HYPERLINK("https%3A%2F%2Fwww.webofscience.com%2Fwos%2Fwoscc%2Ffull-record%2FWOS:000084519100012","View Full Record in Web of Science")</f>
        <v>View Full Record in Web of Science</v>
      </c>
    </row>
    <row r="402" spans="1:72" x14ac:dyDescent="0.15">
      <c r="A402" t="s">
        <v>72</v>
      </c>
      <c r="B402" t="s">
        <v>5512</v>
      </c>
      <c r="C402" t="s">
        <v>74</v>
      </c>
      <c r="D402" t="s">
        <v>74</v>
      </c>
      <c r="E402" t="s">
        <v>74</v>
      </c>
      <c r="F402" t="s">
        <v>5512</v>
      </c>
      <c r="G402" t="s">
        <v>74</v>
      </c>
      <c r="H402" t="s">
        <v>74</v>
      </c>
      <c r="I402" t="s">
        <v>5513</v>
      </c>
      <c r="J402" t="s">
        <v>1027</v>
      </c>
      <c r="K402" t="s">
        <v>74</v>
      </c>
      <c r="L402" t="s">
        <v>74</v>
      </c>
      <c r="M402" t="s">
        <v>77</v>
      </c>
      <c r="N402" t="s">
        <v>78</v>
      </c>
      <c r="O402" t="s">
        <v>74</v>
      </c>
      <c r="P402" t="s">
        <v>74</v>
      </c>
      <c r="Q402" t="s">
        <v>74</v>
      </c>
      <c r="R402" t="s">
        <v>74</v>
      </c>
      <c r="S402" t="s">
        <v>74</v>
      </c>
      <c r="T402" t="s">
        <v>5514</v>
      </c>
      <c r="U402" t="s">
        <v>5515</v>
      </c>
      <c r="V402" t="s">
        <v>5516</v>
      </c>
      <c r="W402" t="s">
        <v>5517</v>
      </c>
      <c r="X402" t="s">
        <v>5518</v>
      </c>
      <c r="Y402" t="s">
        <v>5519</v>
      </c>
      <c r="Z402" t="s">
        <v>5520</v>
      </c>
      <c r="AA402" t="s">
        <v>74</v>
      </c>
      <c r="AB402" t="s">
        <v>74</v>
      </c>
      <c r="AC402" t="s">
        <v>74</v>
      </c>
      <c r="AD402" t="s">
        <v>74</v>
      </c>
      <c r="AE402" t="s">
        <v>74</v>
      </c>
      <c r="AF402" t="s">
        <v>74</v>
      </c>
      <c r="AG402">
        <v>33</v>
      </c>
      <c r="AH402">
        <v>30</v>
      </c>
      <c r="AI402">
        <v>34</v>
      </c>
      <c r="AJ402">
        <v>0</v>
      </c>
      <c r="AK402">
        <v>10</v>
      </c>
      <c r="AL402" t="s">
        <v>997</v>
      </c>
      <c r="AM402" t="s">
        <v>998</v>
      </c>
      <c r="AN402" t="s">
        <v>999</v>
      </c>
      <c r="AO402" t="s">
        <v>1036</v>
      </c>
      <c r="AP402" t="s">
        <v>1037</v>
      </c>
      <c r="AQ402" t="s">
        <v>74</v>
      </c>
      <c r="AR402" t="s">
        <v>1038</v>
      </c>
      <c r="AS402" t="s">
        <v>1039</v>
      </c>
      <c r="AT402" t="s">
        <v>5141</v>
      </c>
      <c r="AU402">
        <v>1999</v>
      </c>
      <c r="AV402">
        <v>68</v>
      </c>
      <c r="AW402">
        <v>4</v>
      </c>
      <c r="AX402" t="s">
        <v>74</v>
      </c>
      <c r="AY402" t="s">
        <v>74</v>
      </c>
      <c r="AZ402" t="s">
        <v>74</v>
      </c>
      <c r="BA402" t="s">
        <v>74</v>
      </c>
      <c r="BB402">
        <v>741</v>
      </c>
      <c r="BC402">
        <v>752</v>
      </c>
      <c r="BD402" t="s">
        <v>74</v>
      </c>
      <c r="BE402" t="s">
        <v>5521</v>
      </c>
      <c r="BF402" t="str">
        <f>HYPERLINK("http://dx.doi.org/10.1046/j.1365-2656.1999.00322.x","http://dx.doi.org/10.1046/j.1365-2656.1999.00322.x")</f>
        <v>http://dx.doi.org/10.1046/j.1365-2656.1999.00322.x</v>
      </c>
      <c r="BG402" t="s">
        <v>74</v>
      </c>
      <c r="BH402" t="s">
        <v>74</v>
      </c>
      <c r="BI402">
        <v>12</v>
      </c>
      <c r="BJ402" t="s">
        <v>1041</v>
      </c>
      <c r="BK402" t="s">
        <v>96</v>
      </c>
      <c r="BL402" t="s">
        <v>1042</v>
      </c>
      <c r="BM402" t="s">
        <v>5522</v>
      </c>
      <c r="BN402" t="s">
        <v>74</v>
      </c>
      <c r="BO402" t="s">
        <v>74</v>
      </c>
      <c r="BP402" t="s">
        <v>74</v>
      </c>
      <c r="BQ402" t="s">
        <v>74</v>
      </c>
      <c r="BR402" t="s">
        <v>99</v>
      </c>
      <c r="BS402" t="s">
        <v>5523</v>
      </c>
      <c r="BT402" t="str">
        <f>HYPERLINK("https%3A%2F%2Fwww.webofscience.com%2Fwos%2Fwoscc%2Ffull-record%2FWOS:000081723300010","View Full Record in Web of Science")</f>
        <v>View Full Record in Web of Science</v>
      </c>
    </row>
    <row r="403" spans="1:72" x14ac:dyDescent="0.15">
      <c r="A403" t="s">
        <v>72</v>
      </c>
      <c r="B403" t="s">
        <v>5524</v>
      </c>
      <c r="C403" t="s">
        <v>74</v>
      </c>
      <c r="D403" t="s">
        <v>74</v>
      </c>
      <c r="E403" t="s">
        <v>74</v>
      </c>
      <c r="F403" t="s">
        <v>5524</v>
      </c>
      <c r="G403" t="s">
        <v>74</v>
      </c>
      <c r="H403" t="s">
        <v>74</v>
      </c>
      <c r="I403" t="s">
        <v>5525</v>
      </c>
      <c r="J403" t="s">
        <v>3455</v>
      </c>
      <c r="K403" t="s">
        <v>74</v>
      </c>
      <c r="L403" t="s">
        <v>74</v>
      </c>
      <c r="M403" t="s">
        <v>77</v>
      </c>
      <c r="N403" t="s">
        <v>78</v>
      </c>
      <c r="O403" t="s">
        <v>74</v>
      </c>
      <c r="P403" t="s">
        <v>74</v>
      </c>
      <c r="Q403" t="s">
        <v>74</v>
      </c>
      <c r="R403" t="s">
        <v>74</v>
      </c>
      <c r="S403" t="s">
        <v>74</v>
      </c>
      <c r="T403" t="s">
        <v>74</v>
      </c>
      <c r="U403" t="s">
        <v>5526</v>
      </c>
      <c r="V403" t="s">
        <v>5527</v>
      </c>
      <c r="W403" t="s">
        <v>5528</v>
      </c>
      <c r="X403" t="s">
        <v>5529</v>
      </c>
      <c r="Y403" t="s">
        <v>5530</v>
      </c>
      <c r="Z403" t="s">
        <v>5531</v>
      </c>
      <c r="AA403" t="s">
        <v>74</v>
      </c>
      <c r="AB403" t="s">
        <v>74</v>
      </c>
      <c r="AC403" t="s">
        <v>74</v>
      </c>
      <c r="AD403" t="s">
        <v>74</v>
      </c>
      <c r="AE403" t="s">
        <v>74</v>
      </c>
      <c r="AF403" t="s">
        <v>74</v>
      </c>
      <c r="AG403">
        <v>29</v>
      </c>
      <c r="AH403">
        <v>26</v>
      </c>
      <c r="AI403">
        <v>27</v>
      </c>
      <c r="AJ403">
        <v>0</v>
      </c>
      <c r="AK403">
        <v>1</v>
      </c>
      <c r="AL403" t="s">
        <v>275</v>
      </c>
      <c r="AM403" t="s">
        <v>276</v>
      </c>
      <c r="AN403" t="s">
        <v>277</v>
      </c>
      <c r="AO403" t="s">
        <v>3461</v>
      </c>
      <c r="AP403" t="s">
        <v>5532</v>
      </c>
      <c r="AQ403" t="s">
        <v>74</v>
      </c>
      <c r="AR403" t="s">
        <v>3462</v>
      </c>
      <c r="AS403" t="s">
        <v>3463</v>
      </c>
      <c r="AT403" t="s">
        <v>5141</v>
      </c>
      <c r="AU403">
        <v>1999</v>
      </c>
      <c r="AV403">
        <v>61</v>
      </c>
      <c r="AW403">
        <v>10</v>
      </c>
      <c r="AX403" t="s">
        <v>74</v>
      </c>
      <c r="AY403" t="s">
        <v>74</v>
      </c>
      <c r="AZ403" t="s">
        <v>74</v>
      </c>
      <c r="BA403" t="s">
        <v>74</v>
      </c>
      <c r="BB403">
        <v>745</v>
      </c>
      <c r="BC403">
        <v>750</v>
      </c>
      <c r="BD403" t="s">
        <v>74</v>
      </c>
      <c r="BE403" t="s">
        <v>5533</v>
      </c>
      <c r="BF403" t="str">
        <f>HYPERLINK("http://dx.doi.org/10.1016/S1364-6826(99)00031-0","http://dx.doi.org/10.1016/S1364-6826(99)00031-0")</f>
        <v>http://dx.doi.org/10.1016/S1364-6826(99)00031-0</v>
      </c>
      <c r="BG403" t="s">
        <v>74</v>
      </c>
      <c r="BH403" t="s">
        <v>74</v>
      </c>
      <c r="BI403">
        <v>6</v>
      </c>
      <c r="BJ403" t="s">
        <v>3465</v>
      </c>
      <c r="BK403" t="s">
        <v>96</v>
      </c>
      <c r="BL403" t="s">
        <v>3465</v>
      </c>
      <c r="BM403" t="s">
        <v>5534</v>
      </c>
      <c r="BN403" t="s">
        <v>74</v>
      </c>
      <c r="BO403" t="s">
        <v>74</v>
      </c>
      <c r="BP403" t="s">
        <v>74</v>
      </c>
      <c r="BQ403" t="s">
        <v>74</v>
      </c>
      <c r="BR403" t="s">
        <v>99</v>
      </c>
      <c r="BS403" t="s">
        <v>5535</v>
      </c>
      <c r="BT403" t="str">
        <f>HYPERLINK("https%3A%2F%2Fwww.webofscience.com%2Fwos%2Fwoscc%2Ffull-record%2FWOS:000082698500003","View Full Record in Web of Science")</f>
        <v>View Full Record in Web of Science</v>
      </c>
    </row>
    <row r="404" spans="1:72" x14ac:dyDescent="0.15">
      <c r="A404" t="s">
        <v>72</v>
      </c>
      <c r="B404" t="s">
        <v>5536</v>
      </c>
      <c r="C404" t="s">
        <v>74</v>
      </c>
      <c r="D404" t="s">
        <v>74</v>
      </c>
      <c r="E404" t="s">
        <v>74</v>
      </c>
      <c r="F404" t="s">
        <v>5536</v>
      </c>
      <c r="G404" t="s">
        <v>74</v>
      </c>
      <c r="H404" t="s">
        <v>74</v>
      </c>
      <c r="I404" t="s">
        <v>5537</v>
      </c>
      <c r="J404" t="s">
        <v>3455</v>
      </c>
      <c r="K404" t="s">
        <v>74</v>
      </c>
      <c r="L404" t="s">
        <v>74</v>
      </c>
      <c r="M404" t="s">
        <v>77</v>
      </c>
      <c r="N404" t="s">
        <v>78</v>
      </c>
      <c r="O404" t="s">
        <v>74</v>
      </c>
      <c r="P404" t="s">
        <v>74</v>
      </c>
      <c r="Q404" t="s">
        <v>74</v>
      </c>
      <c r="R404" t="s">
        <v>74</v>
      </c>
      <c r="S404" t="s">
        <v>74</v>
      </c>
      <c r="T404" t="s">
        <v>74</v>
      </c>
      <c r="U404" t="s">
        <v>5538</v>
      </c>
      <c r="V404" t="s">
        <v>5539</v>
      </c>
      <c r="W404" t="s">
        <v>5540</v>
      </c>
      <c r="X404" t="s">
        <v>5541</v>
      </c>
      <c r="Y404" t="s">
        <v>5542</v>
      </c>
      <c r="Z404" t="s">
        <v>74</v>
      </c>
      <c r="AA404" t="s">
        <v>74</v>
      </c>
      <c r="AB404" t="s">
        <v>74</v>
      </c>
      <c r="AC404" t="s">
        <v>74</v>
      </c>
      <c r="AD404" t="s">
        <v>74</v>
      </c>
      <c r="AE404" t="s">
        <v>74</v>
      </c>
      <c r="AF404" t="s">
        <v>74</v>
      </c>
      <c r="AG404">
        <v>42</v>
      </c>
      <c r="AH404">
        <v>0</v>
      </c>
      <c r="AI404">
        <v>0</v>
      </c>
      <c r="AJ404">
        <v>0</v>
      </c>
      <c r="AK404">
        <v>0</v>
      </c>
      <c r="AL404" t="s">
        <v>275</v>
      </c>
      <c r="AM404" t="s">
        <v>276</v>
      </c>
      <c r="AN404" t="s">
        <v>277</v>
      </c>
      <c r="AO404" t="s">
        <v>3461</v>
      </c>
      <c r="AP404" t="s">
        <v>74</v>
      </c>
      <c r="AQ404" t="s">
        <v>74</v>
      </c>
      <c r="AR404" t="s">
        <v>3462</v>
      </c>
      <c r="AS404" t="s">
        <v>3463</v>
      </c>
      <c r="AT404" t="s">
        <v>5141</v>
      </c>
      <c r="AU404">
        <v>1999</v>
      </c>
      <c r="AV404">
        <v>61</v>
      </c>
      <c r="AW404">
        <v>11</v>
      </c>
      <c r="AX404" t="s">
        <v>74</v>
      </c>
      <c r="AY404" t="s">
        <v>74</v>
      </c>
      <c r="AZ404" t="s">
        <v>74</v>
      </c>
      <c r="BA404" t="s">
        <v>74</v>
      </c>
      <c r="BB404">
        <v>841</v>
      </c>
      <c r="BC404">
        <v>855</v>
      </c>
      <c r="BD404" t="s">
        <v>74</v>
      </c>
      <c r="BE404" t="s">
        <v>5543</v>
      </c>
      <c r="BF404" t="str">
        <f>HYPERLINK("http://dx.doi.org/10.1016/S1364-6826(99)00043-7","http://dx.doi.org/10.1016/S1364-6826(99)00043-7")</f>
        <v>http://dx.doi.org/10.1016/S1364-6826(99)00043-7</v>
      </c>
      <c r="BG404" t="s">
        <v>74</v>
      </c>
      <c r="BH404" t="s">
        <v>74</v>
      </c>
      <c r="BI404">
        <v>15</v>
      </c>
      <c r="BJ404" t="s">
        <v>3465</v>
      </c>
      <c r="BK404" t="s">
        <v>96</v>
      </c>
      <c r="BL404" t="s">
        <v>3465</v>
      </c>
      <c r="BM404" t="s">
        <v>5544</v>
      </c>
      <c r="BN404" t="s">
        <v>74</v>
      </c>
      <c r="BO404" t="s">
        <v>74</v>
      </c>
      <c r="BP404" t="s">
        <v>74</v>
      </c>
      <c r="BQ404" t="s">
        <v>74</v>
      </c>
      <c r="BR404" t="s">
        <v>99</v>
      </c>
      <c r="BS404" t="s">
        <v>5545</v>
      </c>
      <c r="BT404" t="str">
        <f>HYPERLINK("https%3A%2F%2Fwww.webofscience.com%2Fwos%2Fwoscc%2Ffull-record%2FWOS:000083150300005","View Full Record in Web of Science")</f>
        <v>View Full Record in Web of Science</v>
      </c>
    </row>
    <row r="405" spans="1:72" x14ac:dyDescent="0.15">
      <c r="A405" t="s">
        <v>72</v>
      </c>
      <c r="B405" t="s">
        <v>5546</v>
      </c>
      <c r="C405" t="s">
        <v>74</v>
      </c>
      <c r="D405" t="s">
        <v>74</v>
      </c>
      <c r="E405" t="s">
        <v>74</v>
      </c>
      <c r="F405" t="s">
        <v>5546</v>
      </c>
      <c r="G405" t="s">
        <v>74</v>
      </c>
      <c r="H405" t="s">
        <v>74</v>
      </c>
      <c r="I405" t="s">
        <v>5547</v>
      </c>
      <c r="J405" t="s">
        <v>5548</v>
      </c>
      <c r="K405" t="s">
        <v>74</v>
      </c>
      <c r="L405" t="s">
        <v>74</v>
      </c>
      <c r="M405" t="s">
        <v>77</v>
      </c>
      <c r="N405" t="s">
        <v>78</v>
      </c>
      <c r="O405" t="s">
        <v>74</v>
      </c>
      <c r="P405" t="s">
        <v>74</v>
      </c>
      <c r="Q405" t="s">
        <v>74</v>
      </c>
      <c r="R405" t="s">
        <v>74</v>
      </c>
      <c r="S405" t="s">
        <v>74</v>
      </c>
      <c r="T405" t="s">
        <v>5549</v>
      </c>
      <c r="U405" t="s">
        <v>5550</v>
      </c>
      <c r="V405" t="s">
        <v>5551</v>
      </c>
      <c r="W405" t="s">
        <v>5552</v>
      </c>
      <c r="X405" t="s">
        <v>5553</v>
      </c>
      <c r="Y405" t="s">
        <v>5554</v>
      </c>
      <c r="Z405" t="s">
        <v>74</v>
      </c>
      <c r="AA405" t="s">
        <v>74</v>
      </c>
      <c r="AB405" t="s">
        <v>74</v>
      </c>
      <c r="AC405" t="s">
        <v>74</v>
      </c>
      <c r="AD405" t="s">
        <v>74</v>
      </c>
      <c r="AE405" t="s">
        <v>74</v>
      </c>
      <c r="AF405" t="s">
        <v>74</v>
      </c>
      <c r="AG405">
        <v>27</v>
      </c>
      <c r="AH405">
        <v>12</v>
      </c>
      <c r="AI405">
        <v>14</v>
      </c>
      <c r="AJ405">
        <v>1</v>
      </c>
      <c r="AK405">
        <v>6</v>
      </c>
      <c r="AL405" t="s">
        <v>5555</v>
      </c>
      <c r="AM405" t="s">
        <v>5269</v>
      </c>
      <c r="AN405" t="s">
        <v>5556</v>
      </c>
      <c r="AO405" t="s">
        <v>5557</v>
      </c>
      <c r="AP405" t="s">
        <v>74</v>
      </c>
      <c r="AQ405" t="s">
        <v>74</v>
      </c>
      <c r="AR405" t="s">
        <v>5558</v>
      </c>
      <c r="AS405" t="s">
        <v>5559</v>
      </c>
      <c r="AT405" t="s">
        <v>5141</v>
      </c>
      <c r="AU405">
        <v>1999</v>
      </c>
      <c r="AV405">
        <v>33</v>
      </c>
      <c r="AW405">
        <v>3</v>
      </c>
      <c r="AX405" t="s">
        <v>74</v>
      </c>
      <c r="AY405" t="s">
        <v>74</v>
      </c>
      <c r="AZ405" t="s">
        <v>74</v>
      </c>
      <c r="BA405" t="s">
        <v>74</v>
      </c>
      <c r="BB405">
        <v>283</v>
      </c>
      <c r="BC405">
        <v>298</v>
      </c>
      <c r="BD405" t="s">
        <v>74</v>
      </c>
      <c r="BE405" t="s">
        <v>5560</v>
      </c>
      <c r="BF405" t="str">
        <f>HYPERLINK("http://dx.doi.org/10.1023/A:1006185027584","http://dx.doi.org/10.1023/A:1006185027584")</f>
        <v>http://dx.doi.org/10.1023/A:1006185027584</v>
      </c>
      <c r="BG405" t="s">
        <v>74</v>
      </c>
      <c r="BH405" t="s">
        <v>74</v>
      </c>
      <c r="BI405">
        <v>16</v>
      </c>
      <c r="BJ405" t="s">
        <v>5561</v>
      </c>
      <c r="BK405" t="s">
        <v>96</v>
      </c>
      <c r="BL405" t="s">
        <v>5562</v>
      </c>
      <c r="BM405" t="s">
        <v>5563</v>
      </c>
      <c r="BN405" t="s">
        <v>74</v>
      </c>
      <c r="BO405" t="s">
        <v>74</v>
      </c>
      <c r="BP405" t="s">
        <v>74</v>
      </c>
      <c r="BQ405" t="s">
        <v>74</v>
      </c>
      <c r="BR405" t="s">
        <v>99</v>
      </c>
      <c r="BS405" t="s">
        <v>5564</v>
      </c>
      <c r="BT405" t="str">
        <f>HYPERLINK("https%3A%2F%2Fwww.webofscience.com%2Fwos%2Fwoscc%2Ffull-record%2FWOS:000080566800004","View Full Record in Web of Science")</f>
        <v>View Full Record in Web of Science</v>
      </c>
    </row>
    <row r="406" spans="1:72" x14ac:dyDescent="0.15">
      <c r="A406" t="s">
        <v>72</v>
      </c>
      <c r="B406" t="s">
        <v>5565</v>
      </c>
      <c r="C406" t="s">
        <v>74</v>
      </c>
      <c r="D406" t="s">
        <v>74</v>
      </c>
      <c r="E406" t="s">
        <v>74</v>
      </c>
      <c r="F406" t="s">
        <v>5565</v>
      </c>
      <c r="G406" t="s">
        <v>74</v>
      </c>
      <c r="H406" t="s">
        <v>74</v>
      </c>
      <c r="I406" t="s">
        <v>5566</v>
      </c>
      <c r="J406" t="s">
        <v>3490</v>
      </c>
      <c r="K406" t="s">
        <v>74</v>
      </c>
      <c r="L406" t="s">
        <v>74</v>
      </c>
      <c r="M406" t="s">
        <v>77</v>
      </c>
      <c r="N406" t="s">
        <v>78</v>
      </c>
      <c r="O406" t="s">
        <v>74</v>
      </c>
      <c r="P406" t="s">
        <v>74</v>
      </c>
      <c r="Q406" t="s">
        <v>74</v>
      </c>
      <c r="R406" t="s">
        <v>74</v>
      </c>
      <c r="S406" t="s">
        <v>74</v>
      </c>
      <c r="T406" t="s">
        <v>5567</v>
      </c>
      <c r="U406" t="s">
        <v>5568</v>
      </c>
      <c r="V406" t="s">
        <v>5569</v>
      </c>
      <c r="W406" t="s">
        <v>5570</v>
      </c>
      <c r="X406" t="s">
        <v>5571</v>
      </c>
      <c r="Y406" t="s">
        <v>5572</v>
      </c>
      <c r="Z406" t="s">
        <v>74</v>
      </c>
      <c r="AA406" t="s">
        <v>74</v>
      </c>
      <c r="AB406" t="s">
        <v>5573</v>
      </c>
      <c r="AC406" t="s">
        <v>74</v>
      </c>
      <c r="AD406" t="s">
        <v>74</v>
      </c>
      <c r="AE406" t="s">
        <v>74</v>
      </c>
      <c r="AF406" t="s">
        <v>74</v>
      </c>
      <c r="AG406">
        <v>35</v>
      </c>
      <c r="AH406">
        <v>20</v>
      </c>
      <c r="AI406">
        <v>21</v>
      </c>
      <c r="AJ406">
        <v>2</v>
      </c>
      <c r="AK406">
        <v>9</v>
      </c>
      <c r="AL406" t="s">
        <v>553</v>
      </c>
      <c r="AM406" t="s">
        <v>554</v>
      </c>
      <c r="AN406" t="s">
        <v>555</v>
      </c>
      <c r="AO406" t="s">
        <v>3499</v>
      </c>
      <c r="AP406" t="s">
        <v>74</v>
      </c>
      <c r="AQ406" t="s">
        <v>74</v>
      </c>
      <c r="AR406" t="s">
        <v>3500</v>
      </c>
      <c r="AS406" t="s">
        <v>3501</v>
      </c>
      <c r="AT406" t="s">
        <v>5141</v>
      </c>
      <c r="AU406">
        <v>1999</v>
      </c>
      <c r="AV406">
        <v>169</v>
      </c>
      <c r="AW406" t="s">
        <v>1004</v>
      </c>
      <c r="AX406" t="s">
        <v>74</v>
      </c>
      <c r="AY406" t="s">
        <v>74</v>
      </c>
      <c r="AZ406" t="s">
        <v>74</v>
      </c>
      <c r="BA406" t="s">
        <v>74</v>
      </c>
      <c r="BB406">
        <v>329</v>
      </c>
      <c r="BC406">
        <v>334</v>
      </c>
      <c r="BD406" t="s">
        <v>74</v>
      </c>
      <c r="BE406" t="s">
        <v>5574</v>
      </c>
      <c r="BF406" t="str">
        <f>HYPERLINK("http://dx.doi.org/10.1007/s003600050228","http://dx.doi.org/10.1007/s003600050228")</f>
        <v>http://dx.doi.org/10.1007/s003600050228</v>
      </c>
      <c r="BG406" t="s">
        <v>74</v>
      </c>
      <c r="BH406" t="s">
        <v>74</v>
      </c>
      <c r="BI406">
        <v>6</v>
      </c>
      <c r="BJ406" t="s">
        <v>3503</v>
      </c>
      <c r="BK406" t="s">
        <v>96</v>
      </c>
      <c r="BL406" t="s">
        <v>3503</v>
      </c>
      <c r="BM406" t="s">
        <v>5575</v>
      </c>
      <c r="BN406" t="s">
        <v>74</v>
      </c>
      <c r="BO406" t="s">
        <v>74</v>
      </c>
      <c r="BP406" t="s">
        <v>74</v>
      </c>
      <c r="BQ406" t="s">
        <v>74</v>
      </c>
      <c r="BR406" t="s">
        <v>99</v>
      </c>
      <c r="BS406" t="s">
        <v>5576</v>
      </c>
      <c r="BT406" t="str">
        <f>HYPERLINK("https%3A%2F%2Fwww.webofscience.com%2Fwos%2Fwoscc%2Ffull-record%2FWOS:000081834300012","View Full Record in Web of Science")</f>
        <v>View Full Record in Web of Science</v>
      </c>
    </row>
    <row r="407" spans="1:72" x14ac:dyDescent="0.15">
      <c r="A407" t="s">
        <v>72</v>
      </c>
      <c r="B407" t="s">
        <v>5577</v>
      </c>
      <c r="C407" t="s">
        <v>74</v>
      </c>
      <c r="D407" t="s">
        <v>74</v>
      </c>
      <c r="E407" t="s">
        <v>74</v>
      </c>
      <c r="F407" t="s">
        <v>5577</v>
      </c>
      <c r="G407" t="s">
        <v>74</v>
      </c>
      <c r="H407" t="s">
        <v>74</v>
      </c>
      <c r="I407" t="s">
        <v>5578</v>
      </c>
      <c r="J407" t="s">
        <v>5579</v>
      </c>
      <c r="K407" t="s">
        <v>74</v>
      </c>
      <c r="L407" t="s">
        <v>74</v>
      </c>
      <c r="M407" t="s">
        <v>77</v>
      </c>
      <c r="N407" t="s">
        <v>78</v>
      </c>
      <c r="O407" t="s">
        <v>74</v>
      </c>
      <c r="P407" t="s">
        <v>74</v>
      </c>
      <c r="Q407" t="s">
        <v>74</v>
      </c>
      <c r="R407" t="s">
        <v>74</v>
      </c>
      <c r="S407" t="s">
        <v>74</v>
      </c>
      <c r="T407" t="s">
        <v>74</v>
      </c>
      <c r="U407" t="s">
        <v>5580</v>
      </c>
      <c r="V407" t="s">
        <v>5581</v>
      </c>
      <c r="W407" t="s">
        <v>5582</v>
      </c>
      <c r="X407" t="s">
        <v>5583</v>
      </c>
      <c r="Y407" t="s">
        <v>5584</v>
      </c>
      <c r="Z407" t="s">
        <v>74</v>
      </c>
      <c r="AA407" t="s">
        <v>5585</v>
      </c>
      <c r="AB407" t="s">
        <v>74</v>
      </c>
      <c r="AC407" t="s">
        <v>74</v>
      </c>
      <c r="AD407" t="s">
        <v>74</v>
      </c>
      <c r="AE407" t="s">
        <v>74</v>
      </c>
      <c r="AF407" t="s">
        <v>74</v>
      </c>
      <c r="AG407">
        <v>86</v>
      </c>
      <c r="AH407">
        <v>15</v>
      </c>
      <c r="AI407">
        <v>15</v>
      </c>
      <c r="AJ407">
        <v>0</v>
      </c>
      <c r="AK407">
        <v>10</v>
      </c>
      <c r="AL407" t="s">
        <v>5586</v>
      </c>
      <c r="AM407" t="s">
        <v>2505</v>
      </c>
      <c r="AN407" t="s">
        <v>5587</v>
      </c>
      <c r="AO407" t="s">
        <v>5588</v>
      </c>
      <c r="AP407" t="s">
        <v>74</v>
      </c>
      <c r="AQ407" t="s">
        <v>74</v>
      </c>
      <c r="AR407" t="s">
        <v>5589</v>
      </c>
      <c r="AS407" t="s">
        <v>5590</v>
      </c>
      <c r="AT407" t="s">
        <v>5141</v>
      </c>
      <c r="AU407">
        <v>1999</v>
      </c>
      <c r="AV407">
        <v>29</v>
      </c>
      <c r="AW407">
        <v>3</v>
      </c>
      <c r="AX407" t="s">
        <v>74</v>
      </c>
      <c r="AY407" t="s">
        <v>74</v>
      </c>
      <c r="AZ407" t="s">
        <v>74</v>
      </c>
      <c r="BA407" t="s">
        <v>74</v>
      </c>
      <c r="BB407">
        <v>209</v>
      </c>
      <c r="BC407">
        <v>221</v>
      </c>
      <c r="BD407" t="s">
        <v>74</v>
      </c>
      <c r="BE407" t="s">
        <v>74</v>
      </c>
      <c r="BF407" t="s">
        <v>74</v>
      </c>
      <c r="BG407" t="s">
        <v>74</v>
      </c>
      <c r="BH407" t="s">
        <v>74</v>
      </c>
      <c r="BI407">
        <v>13</v>
      </c>
      <c r="BJ407" t="s">
        <v>1270</v>
      </c>
      <c r="BK407" t="s">
        <v>96</v>
      </c>
      <c r="BL407" t="s">
        <v>1270</v>
      </c>
      <c r="BM407" t="s">
        <v>5591</v>
      </c>
      <c r="BN407" t="s">
        <v>74</v>
      </c>
      <c r="BO407" t="s">
        <v>74</v>
      </c>
      <c r="BP407" t="s">
        <v>74</v>
      </c>
      <c r="BQ407" t="s">
        <v>74</v>
      </c>
      <c r="BR407" t="s">
        <v>99</v>
      </c>
      <c r="BS407" t="s">
        <v>5592</v>
      </c>
      <c r="BT407" t="str">
        <f>HYPERLINK("https%3A%2F%2Fwww.webofscience.com%2Fwos%2Fwoscc%2Ffull-record%2FWOS:000081652600004","View Full Record in Web of Science")</f>
        <v>View Full Record in Web of Science</v>
      </c>
    </row>
    <row r="408" spans="1:72" x14ac:dyDescent="0.15">
      <c r="A408" t="s">
        <v>72</v>
      </c>
      <c r="B408" t="s">
        <v>5593</v>
      </c>
      <c r="C408" t="s">
        <v>74</v>
      </c>
      <c r="D408" t="s">
        <v>74</v>
      </c>
      <c r="E408" t="s">
        <v>74</v>
      </c>
      <c r="F408" t="s">
        <v>5593</v>
      </c>
      <c r="G408" t="s">
        <v>74</v>
      </c>
      <c r="H408" t="s">
        <v>74</v>
      </c>
      <c r="I408" t="s">
        <v>5594</v>
      </c>
      <c r="J408" t="s">
        <v>1063</v>
      </c>
      <c r="K408" t="s">
        <v>74</v>
      </c>
      <c r="L408" t="s">
        <v>74</v>
      </c>
      <c r="M408" t="s">
        <v>77</v>
      </c>
      <c r="N408" t="s">
        <v>78</v>
      </c>
      <c r="O408" t="s">
        <v>74</v>
      </c>
      <c r="P408" t="s">
        <v>74</v>
      </c>
      <c r="Q408" t="s">
        <v>74</v>
      </c>
      <c r="R408" t="s">
        <v>74</v>
      </c>
      <c r="S408" t="s">
        <v>74</v>
      </c>
      <c r="T408" t="s">
        <v>74</v>
      </c>
      <c r="U408" t="s">
        <v>5595</v>
      </c>
      <c r="V408" t="s">
        <v>5596</v>
      </c>
      <c r="W408" t="s">
        <v>5597</v>
      </c>
      <c r="X408" t="s">
        <v>5598</v>
      </c>
      <c r="Y408" t="s">
        <v>152</v>
      </c>
      <c r="Z408" t="s">
        <v>5599</v>
      </c>
      <c r="AA408" t="s">
        <v>74</v>
      </c>
      <c r="AB408" t="s">
        <v>74</v>
      </c>
      <c r="AC408" t="s">
        <v>74</v>
      </c>
      <c r="AD408" t="s">
        <v>74</v>
      </c>
      <c r="AE408" t="s">
        <v>74</v>
      </c>
      <c r="AF408" t="s">
        <v>74</v>
      </c>
      <c r="AG408">
        <v>46</v>
      </c>
      <c r="AH408">
        <v>19</v>
      </c>
      <c r="AI408">
        <v>21</v>
      </c>
      <c r="AJ408">
        <v>0</v>
      </c>
      <c r="AK408">
        <v>2</v>
      </c>
      <c r="AL408" t="s">
        <v>230</v>
      </c>
      <c r="AM408" t="s">
        <v>231</v>
      </c>
      <c r="AN408" t="s">
        <v>232</v>
      </c>
      <c r="AO408" t="s">
        <v>1070</v>
      </c>
      <c r="AP408" t="s">
        <v>1071</v>
      </c>
      <c r="AQ408" t="s">
        <v>74</v>
      </c>
      <c r="AR408" t="s">
        <v>1072</v>
      </c>
      <c r="AS408" t="s">
        <v>1073</v>
      </c>
      <c r="AT408" t="s">
        <v>5439</v>
      </c>
      <c r="AU408">
        <v>1999</v>
      </c>
      <c r="AV408">
        <v>104</v>
      </c>
      <c r="AW408" t="s">
        <v>5600</v>
      </c>
      <c r="AX408" t="s">
        <v>74</v>
      </c>
      <c r="AY408" t="s">
        <v>74</v>
      </c>
      <c r="AZ408" t="s">
        <v>74</v>
      </c>
      <c r="BA408" t="s">
        <v>74</v>
      </c>
      <c r="BB408">
        <v>14717</v>
      </c>
      <c r="BC408">
        <v>14727</v>
      </c>
      <c r="BD408" t="s">
        <v>74</v>
      </c>
      <c r="BE408" t="s">
        <v>5601</v>
      </c>
      <c r="BF408" t="str">
        <f>HYPERLINK("http://dx.doi.org/10.1029/1999JA900147","http://dx.doi.org/10.1029/1999JA900147")</f>
        <v>http://dx.doi.org/10.1029/1999JA900147</v>
      </c>
      <c r="BG408" t="s">
        <v>74</v>
      </c>
      <c r="BH408" t="s">
        <v>74</v>
      </c>
      <c r="BI408">
        <v>11</v>
      </c>
      <c r="BJ408" t="s">
        <v>1076</v>
      </c>
      <c r="BK408" t="s">
        <v>96</v>
      </c>
      <c r="BL408" t="s">
        <v>1076</v>
      </c>
      <c r="BM408" t="s">
        <v>5602</v>
      </c>
      <c r="BN408" t="s">
        <v>74</v>
      </c>
      <c r="BO408" t="s">
        <v>2824</v>
      </c>
      <c r="BP408" t="s">
        <v>74</v>
      </c>
      <c r="BQ408" t="s">
        <v>74</v>
      </c>
      <c r="BR408" t="s">
        <v>99</v>
      </c>
      <c r="BS408" t="s">
        <v>5603</v>
      </c>
      <c r="BT408" t="str">
        <f>HYPERLINK("https%3A%2F%2Fwww.webofscience.com%2Fwos%2Fwoscc%2Ffull-record%2FWOS:000081185700025","View Full Record in Web of Science")</f>
        <v>View Full Record in Web of Science</v>
      </c>
    </row>
    <row r="409" spans="1:72" x14ac:dyDescent="0.15">
      <c r="A409" t="s">
        <v>72</v>
      </c>
      <c r="B409" t="s">
        <v>5604</v>
      </c>
      <c r="C409" t="s">
        <v>74</v>
      </c>
      <c r="D409" t="s">
        <v>74</v>
      </c>
      <c r="E409" t="s">
        <v>74</v>
      </c>
      <c r="F409" t="s">
        <v>5604</v>
      </c>
      <c r="G409" t="s">
        <v>74</v>
      </c>
      <c r="H409" t="s">
        <v>74</v>
      </c>
      <c r="I409" t="s">
        <v>5605</v>
      </c>
      <c r="J409" t="s">
        <v>1063</v>
      </c>
      <c r="K409" t="s">
        <v>74</v>
      </c>
      <c r="L409" t="s">
        <v>74</v>
      </c>
      <c r="M409" t="s">
        <v>77</v>
      </c>
      <c r="N409" t="s">
        <v>78</v>
      </c>
      <c r="O409" t="s">
        <v>74</v>
      </c>
      <c r="P409" t="s">
        <v>74</v>
      </c>
      <c r="Q409" t="s">
        <v>74</v>
      </c>
      <c r="R409" t="s">
        <v>74</v>
      </c>
      <c r="S409" t="s">
        <v>74</v>
      </c>
      <c r="T409" t="s">
        <v>74</v>
      </c>
      <c r="U409" t="s">
        <v>5606</v>
      </c>
      <c r="V409" t="s">
        <v>5607</v>
      </c>
      <c r="W409" t="s">
        <v>5608</v>
      </c>
      <c r="X409" t="s">
        <v>5609</v>
      </c>
      <c r="Y409" t="s">
        <v>5610</v>
      </c>
      <c r="Z409" t="s">
        <v>5611</v>
      </c>
      <c r="AA409" t="s">
        <v>74</v>
      </c>
      <c r="AB409" t="s">
        <v>74</v>
      </c>
      <c r="AC409" t="s">
        <v>74</v>
      </c>
      <c r="AD409" t="s">
        <v>74</v>
      </c>
      <c r="AE409" t="s">
        <v>74</v>
      </c>
      <c r="AF409" t="s">
        <v>74</v>
      </c>
      <c r="AG409">
        <v>57</v>
      </c>
      <c r="AH409">
        <v>5</v>
      </c>
      <c r="AI409">
        <v>6</v>
      </c>
      <c r="AJ409">
        <v>0</v>
      </c>
      <c r="AK409">
        <v>2</v>
      </c>
      <c r="AL409" t="s">
        <v>230</v>
      </c>
      <c r="AM409" t="s">
        <v>231</v>
      </c>
      <c r="AN409" t="s">
        <v>232</v>
      </c>
      <c r="AO409" t="s">
        <v>1070</v>
      </c>
      <c r="AP409" t="s">
        <v>1071</v>
      </c>
      <c r="AQ409" t="s">
        <v>74</v>
      </c>
      <c r="AR409" t="s">
        <v>1072</v>
      </c>
      <c r="AS409" t="s">
        <v>1073</v>
      </c>
      <c r="AT409" t="s">
        <v>5439</v>
      </c>
      <c r="AU409">
        <v>1999</v>
      </c>
      <c r="AV409">
        <v>104</v>
      </c>
      <c r="AW409" t="s">
        <v>5600</v>
      </c>
      <c r="AX409" t="s">
        <v>74</v>
      </c>
      <c r="AY409" t="s">
        <v>74</v>
      </c>
      <c r="AZ409" t="s">
        <v>74</v>
      </c>
      <c r="BA409" t="s">
        <v>74</v>
      </c>
      <c r="BB409">
        <v>14847</v>
      </c>
      <c r="BC409">
        <v>14866</v>
      </c>
      <c r="BD409" t="s">
        <v>74</v>
      </c>
      <c r="BE409" t="s">
        <v>5612</v>
      </c>
      <c r="BF409" t="str">
        <f>HYPERLINK("http://dx.doi.org/10.1029/1999JA900034","http://dx.doi.org/10.1029/1999JA900034")</f>
        <v>http://dx.doi.org/10.1029/1999JA900034</v>
      </c>
      <c r="BG409" t="s">
        <v>74</v>
      </c>
      <c r="BH409" t="s">
        <v>74</v>
      </c>
      <c r="BI409">
        <v>20</v>
      </c>
      <c r="BJ409" t="s">
        <v>1076</v>
      </c>
      <c r="BK409" t="s">
        <v>96</v>
      </c>
      <c r="BL409" t="s">
        <v>1076</v>
      </c>
      <c r="BM409" t="s">
        <v>5602</v>
      </c>
      <c r="BN409" t="s">
        <v>74</v>
      </c>
      <c r="BO409" t="s">
        <v>250</v>
      </c>
      <c r="BP409" t="s">
        <v>74</v>
      </c>
      <c r="BQ409" t="s">
        <v>74</v>
      </c>
      <c r="BR409" t="s">
        <v>99</v>
      </c>
      <c r="BS409" t="s">
        <v>5613</v>
      </c>
      <c r="BT409" t="str">
        <f>HYPERLINK("https%3A%2F%2Fwww.webofscience.com%2Fwos%2Fwoscc%2Ffull-record%2FWOS:000081185700037","View Full Record in Web of Science")</f>
        <v>View Full Record in Web of Science</v>
      </c>
    </row>
    <row r="410" spans="1:72" x14ac:dyDescent="0.15">
      <c r="A410" t="s">
        <v>72</v>
      </c>
      <c r="B410" t="s">
        <v>5614</v>
      </c>
      <c r="C410" t="s">
        <v>74</v>
      </c>
      <c r="D410" t="s">
        <v>74</v>
      </c>
      <c r="E410" t="s">
        <v>74</v>
      </c>
      <c r="F410" t="s">
        <v>5614</v>
      </c>
      <c r="G410" t="s">
        <v>74</v>
      </c>
      <c r="H410" t="s">
        <v>74</v>
      </c>
      <c r="I410" t="s">
        <v>5615</v>
      </c>
      <c r="J410" t="s">
        <v>1063</v>
      </c>
      <c r="K410" t="s">
        <v>74</v>
      </c>
      <c r="L410" t="s">
        <v>74</v>
      </c>
      <c r="M410" t="s">
        <v>77</v>
      </c>
      <c r="N410" t="s">
        <v>78</v>
      </c>
      <c r="O410" t="s">
        <v>74</v>
      </c>
      <c r="P410" t="s">
        <v>74</v>
      </c>
      <c r="Q410" t="s">
        <v>74</v>
      </c>
      <c r="R410" t="s">
        <v>74</v>
      </c>
      <c r="S410" t="s">
        <v>74</v>
      </c>
      <c r="T410" t="s">
        <v>74</v>
      </c>
      <c r="U410" t="s">
        <v>5616</v>
      </c>
      <c r="V410" t="s">
        <v>5617</v>
      </c>
      <c r="W410" t="s">
        <v>5618</v>
      </c>
      <c r="X410" t="s">
        <v>5619</v>
      </c>
      <c r="Y410" t="s">
        <v>5620</v>
      </c>
      <c r="Z410" t="s">
        <v>5621</v>
      </c>
      <c r="AA410" t="s">
        <v>5622</v>
      </c>
      <c r="AB410" t="s">
        <v>5623</v>
      </c>
      <c r="AC410" t="s">
        <v>74</v>
      </c>
      <c r="AD410" t="s">
        <v>74</v>
      </c>
      <c r="AE410" t="s">
        <v>74</v>
      </c>
      <c r="AF410" t="s">
        <v>74</v>
      </c>
      <c r="AG410">
        <v>46</v>
      </c>
      <c r="AH410">
        <v>16</v>
      </c>
      <c r="AI410">
        <v>18</v>
      </c>
      <c r="AJ410">
        <v>0</v>
      </c>
      <c r="AK410">
        <v>3</v>
      </c>
      <c r="AL410" t="s">
        <v>230</v>
      </c>
      <c r="AM410" t="s">
        <v>231</v>
      </c>
      <c r="AN410" t="s">
        <v>232</v>
      </c>
      <c r="AO410" t="s">
        <v>1070</v>
      </c>
      <c r="AP410" t="s">
        <v>1071</v>
      </c>
      <c r="AQ410" t="s">
        <v>74</v>
      </c>
      <c r="AR410" t="s">
        <v>1072</v>
      </c>
      <c r="AS410" t="s">
        <v>1073</v>
      </c>
      <c r="AT410" t="s">
        <v>5439</v>
      </c>
      <c r="AU410">
        <v>1999</v>
      </c>
      <c r="AV410">
        <v>104</v>
      </c>
      <c r="AW410" t="s">
        <v>5600</v>
      </c>
      <c r="AX410" t="s">
        <v>74</v>
      </c>
      <c r="AY410" t="s">
        <v>74</v>
      </c>
      <c r="AZ410" t="s">
        <v>74</v>
      </c>
      <c r="BA410" t="s">
        <v>74</v>
      </c>
      <c r="BB410">
        <v>14867</v>
      </c>
      <c r="BC410">
        <v>14877</v>
      </c>
      <c r="BD410" t="s">
        <v>74</v>
      </c>
      <c r="BE410" t="s">
        <v>5624</v>
      </c>
      <c r="BF410" t="str">
        <f>HYPERLINK("http://dx.doi.org/10.1029/1999JA900164","http://dx.doi.org/10.1029/1999JA900164")</f>
        <v>http://dx.doi.org/10.1029/1999JA900164</v>
      </c>
      <c r="BG410" t="s">
        <v>74</v>
      </c>
      <c r="BH410" t="s">
        <v>74</v>
      </c>
      <c r="BI410">
        <v>11</v>
      </c>
      <c r="BJ410" t="s">
        <v>1076</v>
      </c>
      <c r="BK410" t="s">
        <v>96</v>
      </c>
      <c r="BL410" t="s">
        <v>1076</v>
      </c>
      <c r="BM410" t="s">
        <v>5602</v>
      </c>
      <c r="BN410" t="s">
        <v>74</v>
      </c>
      <c r="BO410" t="s">
        <v>250</v>
      </c>
      <c r="BP410" t="s">
        <v>74</v>
      </c>
      <c r="BQ410" t="s">
        <v>74</v>
      </c>
      <c r="BR410" t="s">
        <v>99</v>
      </c>
      <c r="BS410" t="s">
        <v>5625</v>
      </c>
      <c r="BT410" t="str">
        <f>HYPERLINK("https%3A%2F%2Fwww.webofscience.com%2Fwos%2Fwoscc%2Ffull-record%2FWOS:000081185700038","View Full Record in Web of Science")</f>
        <v>View Full Record in Web of Science</v>
      </c>
    </row>
    <row r="411" spans="1:72" x14ac:dyDescent="0.15">
      <c r="A411" t="s">
        <v>72</v>
      </c>
      <c r="B411" t="s">
        <v>5626</v>
      </c>
      <c r="C411" t="s">
        <v>74</v>
      </c>
      <c r="D411" t="s">
        <v>74</v>
      </c>
      <c r="E411" t="s">
        <v>74</v>
      </c>
      <c r="F411" t="s">
        <v>5626</v>
      </c>
      <c r="G411" t="s">
        <v>74</v>
      </c>
      <c r="H411" t="s">
        <v>74</v>
      </c>
      <c r="I411" t="s">
        <v>5627</v>
      </c>
      <c r="J411" t="s">
        <v>1081</v>
      </c>
      <c r="K411" t="s">
        <v>74</v>
      </c>
      <c r="L411" t="s">
        <v>74</v>
      </c>
      <c r="M411" t="s">
        <v>77</v>
      </c>
      <c r="N411" t="s">
        <v>78</v>
      </c>
      <c r="O411" t="s">
        <v>74</v>
      </c>
      <c r="P411" t="s">
        <v>74</v>
      </c>
      <c r="Q411" t="s">
        <v>74</v>
      </c>
      <c r="R411" t="s">
        <v>74</v>
      </c>
      <c r="S411" t="s">
        <v>74</v>
      </c>
      <c r="T411" t="s">
        <v>5628</v>
      </c>
      <c r="U411" t="s">
        <v>5629</v>
      </c>
      <c r="V411" t="s">
        <v>5630</v>
      </c>
      <c r="W411" t="s">
        <v>5631</v>
      </c>
      <c r="X411" t="s">
        <v>5632</v>
      </c>
      <c r="Y411" t="s">
        <v>5633</v>
      </c>
      <c r="Z411" t="s">
        <v>74</v>
      </c>
      <c r="AA411" t="s">
        <v>74</v>
      </c>
      <c r="AB411" t="s">
        <v>5634</v>
      </c>
      <c r="AC411" t="s">
        <v>74</v>
      </c>
      <c r="AD411" t="s">
        <v>74</v>
      </c>
      <c r="AE411" t="s">
        <v>74</v>
      </c>
      <c r="AF411" t="s">
        <v>74</v>
      </c>
      <c r="AG411">
        <v>88</v>
      </c>
      <c r="AH411">
        <v>144</v>
      </c>
      <c r="AI411">
        <v>149</v>
      </c>
      <c r="AJ411">
        <v>1</v>
      </c>
      <c r="AK411">
        <v>10</v>
      </c>
      <c r="AL411" t="s">
        <v>1090</v>
      </c>
      <c r="AM411" t="s">
        <v>276</v>
      </c>
      <c r="AN411" t="s">
        <v>1091</v>
      </c>
      <c r="AO411" t="s">
        <v>1092</v>
      </c>
      <c r="AP411" t="s">
        <v>74</v>
      </c>
      <c r="AQ411" t="s">
        <v>74</v>
      </c>
      <c r="AR411" t="s">
        <v>1093</v>
      </c>
      <c r="AS411" t="s">
        <v>1094</v>
      </c>
      <c r="AT411" t="s">
        <v>5141</v>
      </c>
      <c r="AU411">
        <v>1999</v>
      </c>
      <c r="AV411">
        <v>40</v>
      </c>
      <c r="AW411">
        <v>7</v>
      </c>
      <c r="AX411" t="s">
        <v>74</v>
      </c>
      <c r="AY411" t="s">
        <v>74</v>
      </c>
      <c r="AZ411" t="s">
        <v>74</v>
      </c>
      <c r="BA411" t="s">
        <v>74</v>
      </c>
      <c r="BB411">
        <v>1065</v>
      </c>
      <c r="BC411">
        <v>1087</v>
      </c>
      <c r="BD411" t="s">
        <v>74</v>
      </c>
      <c r="BE411" t="s">
        <v>5635</v>
      </c>
      <c r="BF411" t="str">
        <f>HYPERLINK("http://dx.doi.org/10.1093/petrology/40.7.1065","http://dx.doi.org/10.1093/petrology/40.7.1065")</f>
        <v>http://dx.doi.org/10.1093/petrology/40.7.1065</v>
      </c>
      <c r="BG411" t="s">
        <v>74</v>
      </c>
      <c r="BH411" t="s">
        <v>74</v>
      </c>
      <c r="BI411">
        <v>23</v>
      </c>
      <c r="BJ411" t="s">
        <v>216</v>
      </c>
      <c r="BK411" t="s">
        <v>96</v>
      </c>
      <c r="BL411" t="s">
        <v>216</v>
      </c>
      <c r="BM411" t="s">
        <v>5636</v>
      </c>
      <c r="BN411" t="s">
        <v>74</v>
      </c>
      <c r="BO411" t="s">
        <v>200</v>
      </c>
      <c r="BP411" t="s">
        <v>74</v>
      </c>
      <c r="BQ411" t="s">
        <v>74</v>
      </c>
      <c r="BR411" t="s">
        <v>99</v>
      </c>
      <c r="BS411" t="s">
        <v>5637</v>
      </c>
      <c r="BT411" t="str">
        <f>HYPERLINK("https%3A%2F%2Fwww.webofscience.com%2Fwos%2Fwoscc%2Ffull-record%2FWOS:000081187500001","View Full Record in Web of Science")</f>
        <v>View Full Record in Web of Science</v>
      </c>
    </row>
    <row r="412" spans="1:72" x14ac:dyDescent="0.15">
      <c r="A412" t="s">
        <v>72</v>
      </c>
      <c r="B412" t="s">
        <v>5638</v>
      </c>
      <c r="C412" t="s">
        <v>74</v>
      </c>
      <c r="D412" t="s">
        <v>74</v>
      </c>
      <c r="E412" t="s">
        <v>74</v>
      </c>
      <c r="F412" t="s">
        <v>5638</v>
      </c>
      <c r="G412" t="s">
        <v>74</v>
      </c>
      <c r="H412" t="s">
        <v>74</v>
      </c>
      <c r="I412" t="s">
        <v>5639</v>
      </c>
      <c r="J412" t="s">
        <v>1100</v>
      </c>
      <c r="K412" t="s">
        <v>74</v>
      </c>
      <c r="L412" t="s">
        <v>74</v>
      </c>
      <c r="M412" t="s">
        <v>77</v>
      </c>
      <c r="N412" t="s">
        <v>78</v>
      </c>
      <c r="O412" t="s">
        <v>74</v>
      </c>
      <c r="P412" t="s">
        <v>74</v>
      </c>
      <c r="Q412" t="s">
        <v>74</v>
      </c>
      <c r="R412" t="s">
        <v>74</v>
      </c>
      <c r="S412" t="s">
        <v>74</v>
      </c>
      <c r="T412" t="s">
        <v>74</v>
      </c>
      <c r="U412" t="s">
        <v>5640</v>
      </c>
      <c r="V412" t="s">
        <v>5641</v>
      </c>
      <c r="W412" t="s">
        <v>5642</v>
      </c>
      <c r="X412" t="s">
        <v>5643</v>
      </c>
      <c r="Y412" t="s">
        <v>5644</v>
      </c>
      <c r="Z412" t="s">
        <v>74</v>
      </c>
      <c r="AA412" t="s">
        <v>5645</v>
      </c>
      <c r="AB412" t="s">
        <v>5646</v>
      </c>
      <c r="AC412" t="s">
        <v>74</v>
      </c>
      <c r="AD412" t="s">
        <v>74</v>
      </c>
      <c r="AE412" t="s">
        <v>74</v>
      </c>
      <c r="AF412" t="s">
        <v>74</v>
      </c>
      <c r="AG412">
        <v>50</v>
      </c>
      <c r="AH412">
        <v>9</v>
      </c>
      <c r="AI412">
        <v>10</v>
      </c>
      <c r="AJ412">
        <v>0</v>
      </c>
      <c r="AK412">
        <v>3</v>
      </c>
      <c r="AL412" t="s">
        <v>86</v>
      </c>
      <c r="AM412" t="s">
        <v>87</v>
      </c>
      <c r="AN412" t="s">
        <v>88</v>
      </c>
      <c r="AO412" t="s">
        <v>1106</v>
      </c>
      <c r="AP412" t="s">
        <v>74</v>
      </c>
      <c r="AQ412" t="s">
        <v>74</v>
      </c>
      <c r="AR412" t="s">
        <v>1107</v>
      </c>
      <c r="AS412" t="s">
        <v>1108</v>
      </c>
      <c r="AT412" t="s">
        <v>5141</v>
      </c>
      <c r="AU412">
        <v>1999</v>
      </c>
      <c r="AV412">
        <v>29</v>
      </c>
      <c r="AW412">
        <v>7</v>
      </c>
      <c r="AX412" t="s">
        <v>74</v>
      </c>
      <c r="AY412" t="s">
        <v>74</v>
      </c>
      <c r="AZ412" t="s">
        <v>74</v>
      </c>
      <c r="BA412" t="s">
        <v>74</v>
      </c>
      <c r="BB412">
        <v>1425</v>
      </c>
      <c r="BC412">
        <v>1441</v>
      </c>
      <c r="BD412" t="s">
        <v>74</v>
      </c>
      <c r="BE412" t="s">
        <v>5647</v>
      </c>
      <c r="BF412" t="str">
        <f>HYPERLINK("http://dx.doi.org/10.1175/1520-0485(1999)029&lt;1425:DOTMST&gt;2.0.CO;2","http://dx.doi.org/10.1175/1520-0485(1999)029&lt;1425:DOTMST&gt;2.0.CO;2")</f>
        <v>http://dx.doi.org/10.1175/1520-0485(1999)029&lt;1425:DOTMST&gt;2.0.CO;2</v>
      </c>
      <c r="BG412" t="s">
        <v>74</v>
      </c>
      <c r="BH412" t="s">
        <v>74</v>
      </c>
      <c r="BI412">
        <v>17</v>
      </c>
      <c r="BJ412" t="s">
        <v>416</v>
      </c>
      <c r="BK412" t="s">
        <v>96</v>
      </c>
      <c r="BL412" t="s">
        <v>416</v>
      </c>
      <c r="BM412" t="s">
        <v>5648</v>
      </c>
      <c r="BN412" t="s">
        <v>74</v>
      </c>
      <c r="BO412" t="s">
        <v>98</v>
      </c>
      <c r="BP412" t="s">
        <v>74</v>
      </c>
      <c r="BQ412" t="s">
        <v>74</v>
      </c>
      <c r="BR412" t="s">
        <v>99</v>
      </c>
      <c r="BS412" t="s">
        <v>5649</v>
      </c>
      <c r="BT412" t="str">
        <f>HYPERLINK("https%3A%2F%2Fwww.webofscience.com%2Fwos%2Fwoscc%2Ffull-record%2FWOS:000081739100003","View Full Record in Web of Science")</f>
        <v>View Full Record in Web of Science</v>
      </c>
    </row>
    <row r="413" spans="1:72" x14ac:dyDescent="0.15">
      <c r="A413" t="s">
        <v>72</v>
      </c>
      <c r="B413" t="s">
        <v>5650</v>
      </c>
      <c r="C413" t="s">
        <v>74</v>
      </c>
      <c r="D413" t="s">
        <v>74</v>
      </c>
      <c r="E413" t="s">
        <v>74</v>
      </c>
      <c r="F413" t="s">
        <v>5650</v>
      </c>
      <c r="G413" t="s">
        <v>74</v>
      </c>
      <c r="H413" t="s">
        <v>74</v>
      </c>
      <c r="I413" t="s">
        <v>5651</v>
      </c>
      <c r="J413" t="s">
        <v>1100</v>
      </c>
      <c r="K413" t="s">
        <v>74</v>
      </c>
      <c r="L413" t="s">
        <v>74</v>
      </c>
      <c r="M413" t="s">
        <v>77</v>
      </c>
      <c r="N413" t="s">
        <v>78</v>
      </c>
      <c r="O413" t="s">
        <v>74</v>
      </c>
      <c r="P413" t="s">
        <v>74</v>
      </c>
      <c r="Q413" t="s">
        <v>74</v>
      </c>
      <c r="R413" t="s">
        <v>74</v>
      </c>
      <c r="S413" t="s">
        <v>74</v>
      </c>
      <c r="T413" t="s">
        <v>74</v>
      </c>
      <c r="U413" t="s">
        <v>5652</v>
      </c>
      <c r="V413" t="s">
        <v>5653</v>
      </c>
      <c r="W413" t="s">
        <v>5654</v>
      </c>
      <c r="X413" t="s">
        <v>5655</v>
      </c>
      <c r="Y413" t="s">
        <v>5656</v>
      </c>
      <c r="Z413" t="s">
        <v>5657</v>
      </c>
      <c r="AA413" t="s">
        <v>5658</v>
      </c>
      <c r="AB413" t="s">
        <v>5659</v>
      </c>
      <c r="AC413" t="s">
        <v>74</v>
      </c>
      <c r="AD413" t="s">
        <v>74</v>
      </c>
      <c r="AE413" t="s">
        <v>74</v>
      </c>
      <c r="AF413" t="s">
        <v>74</v>
      </c>
      <c r="AG413">
        <v>32</v>
      </c>
      <c r="AH413">
        <v>130</v>
      </c>
      <c r="AI413">
        <v>148</v>
      </c>
      <c r="AJ413">
        <v>0</v>
      </c>
      <c r="AK413">
        <v>35</v>
      </c>
      <c r="AL413" t="s">
        <v>86</v>
      </c>
      <c r="AM413" t="s">
        <v>87</v>
      </c>
      <c r="AN413" t="s">
        <v>88</v>
      </c>
      <c r="AO413" t="s">
        <v>1106</v>
      </c>
      <c r="AP413" t="s">
        <v>2302</v>
      </c>
      <c r="AQ413" t="s">
        <v>74</v>
      </c>
      <c r="AR413" t="s">
        <v>1107</v>
      </c>
      <c r="AS413" t="s">
        <v>1108</v>
      </c>
      <c r="AT413" t="s">
        <v>5141</v>
      </c>
      <c r="AU413">
        <v>1999</v>
      </c>
      <c r="AV413">
        <v>29</v>
      </c>
      <c r="AW413">
        <v>7</v>
      </c>
      <c r="AX413" t="s">
        <v>74</v>
      </c>
      <c r="AY413" t="s">
        <v>74</v>
      </c>
      <c r="AZ413" t="s">
        <v>74</v>
      </c>
      <c r="BA413" t="s">
        <v>74</v>
      </c>
      <c r="BB413">
        <v>1488</v>
      </c>
      <c r="BC413">
        <v>1505</v>
      </c>
      <c r="BD413" t="s">
        <v>74</v>
      </c>
      <c r="BE413" t="s">
        <v>5660</v>
      </c>
      <c r="BF413" t="str">
        <f>HYPERLINK("http://dx.doi.org/10.1175/1520-0485(1999)029&lt;1488:ACOTCA&gt;2.0.CO;2","http://dx.doi.org/10.1175/1520-0485(1999)029&lt;1488:ACOTCA&gt;2.0.CO;2")</f>
        <v>http://dx.doi.org/10.1175/1520-0485(1999)029&lt;1488:ACOTCA&gt;2.0.CO;2</v>
      </c>
      <c r="BG413" t="s">
        <v>74</v>
      </c>
      <c r="BH413" t="s">
        <v>74</v>
      </c>
      <c r="BI413">
        <v>18</v>
      </c>
      <c r="BJ413" t="s">
        <v>416</v>
      </c>
      <c r="BK413" t="s">
        <v>96</v>
      </c>
      <c r="BL413" t="s">
        <v>416</v>
      </c>
      <c r="BM413" t="s">
        <v>5648</v>
      </c>
      <c r="BN413" t="s">
        <v>74</v>
      </c>
      <c r="BO413" t="s">
        <v>250</v>
      </c>
      <c r="BP413" t="s">
        <v>74</v>
      </c>
      <c r="BQ413" t="s">
        <v>74</v>
      </c>
      <c r="BR413" t="s">
        <v>99</v>
      </c>
      <c r="BS413" t="s">
        <v>5661</v>
      </c>
      <c r="BT413" t="str">
        <f>HYPERLINK("https%3A%2F%2Fwww.webofscience.com%2Fwos%2Fwoscc%2Ffull-record%2FWOS:000081739100007","View Full Record in Web of Science")</f>
        <v>View Full Record in Web of Science</v>
      </c>
    </row>
    <row r="414" spans="1:72" x14ac:dyDescent="0.15">
      <c r="A414" t="s">
        <v>72</v>
      </c>
      <c r="B414" t="s">
        <v>5662</v>
      </c>
      <c r="C414" t="s">
        <v>74</v>
      </c>
      <c r="D414" t="s">
        <v>74</v>
      </c>
      <c r="E414" t="s">
        <v>74</v>
      </c>
      <c r="F414" t="s">
        <v>5662</v>
      </c>
      <c r="G414" t="s">
        <v>74</v>
      </c>
      <c r="H414" t="s">
        <v>74</v>
      </c>
      <c r="I414" t="s">
        <v>5663</v>
      </c>
      <c r="J414" t="s">
        <v>5664</v>
      </c>
      <c r="K414" t="s">
        <v>74</v>
      </c>
      <c r="L414" t="s">
        <v>74</v>
      </c>
      <c r="M414" t="s">
        <v>77</v>
      </c>
      <c r="N414" t="s">
        <v>123</v>
      </c>
      <c r="O414" t="s">
        <v>5665</v>
      </c>
      <c r="P414" t="s">
        <v>5666</v>
      </c>
      <c r="Q414" t="s">
        <v>5667</v>
      </c>
      <c r="R414" t="s">
        <v>74</v>
      </c>
      <c r="S414" t="s">
        <v>5668</v>
      </c>
      <c r="T414" t="s">
        <v>74</v>
      </c>
      <c r="U414" t="s">
        <v>5669</v>
      </c>
      <c r="V414" t="s">
        <v>5670</v>
      </c>
      <c r="W414" t="s">
        <v>5671</v>
      </c>
      <c r="X414" t="s">
        <v>5672</v>
      </c>
      <c r="Y414" t="s">
        <v>5673</v>
      </c>
      <c r="Z414" t="s">
        <v>74</v>
      </c>
      <c r="AA414" t="s">
        <v>5674</v>
      </c>
      <c r="AB414" t="s">
        <v>5675</v>
      </c>
      <c r="AC414" t="s">
        <v>74</v>
      </c>
      <c r="AD414" t="s">
        <v>74</v>
      </c>
      <c r="AE414" t="s">
        <v>74</v>
      </c>
      <c r="AF414" t="s">
        <v>74</v>
      </c>
      <c r="AG414">
        <v>17</v>
      </c>
      <c r="AH414">
        <v>2</v>
      </c>
      <c r="AI414">
        <v>2</v>
      </c>
      <c r="AJ414">
        <v>0</v>
      </c>
      <c r="AK414">
        <v>0</v>
      </c>
      <c r="AL414" t="s">
        <v>5676</v>
      </c>
      <c r="AM414" t="s">
        <v>5677</v>
      </c>
      <c r="AN414" t="s">
        <v>5678</v>
      </c>
      <c r="AO414" t="s">
        <v>5679</v>
      </c>
      <c r="AP414" t="s">
        <v>74</v>
      </c>
      <c r="AQ414" t="s">
        <v>74</v>
      </c>
      <c r="AR414" t="s">
        <v>5680</v>
      </c>
      <c r="AS414" t="s">
        <v>5681</v>
      </c>
      <c r="AT414" t="s">
        <v>5141</v>
      </c>
      <c r="AU414">
        <v>1999</v>
      </c>
      <c r="AV414">
        <v>25</v>
      </c>
      <c r="AW414">
        <v>7</v>
      </c>
      <c r="AX414" t="s">
        <v>74</v>
      </c>
      <c r="AY414" t="s">
        <v>74</v>
      </c>
      <c r="AZ414" t="s">
        <v>74</v>
      </c>
      <c r="BA414" t="s">
        <v>74</v>
      </c>
      <c r="BB414">
        <v>1440</v>
      </c>
      <c r="BC414">
        <v>1443</v>
      </c>
      <c r="BD414" t="s">
        <v>74</v>
      </c>
      <c r="BE414" t="s">
        <v>5682</v>
      </c>
      <c r="BF414" t="str">
        <f>HYPERLINK("http://dx.doi.org/10.1088/0954-3899/25/7/323","http://dx.doi.org/10.1088/0954-3899/25/7/323")</f>
        <v>http://dx.doi.org/10.1088/0954-3899/25/7/323</v>
      </c>
      <c r="BG414" t="s">
        <v>74</v>
      </c>
      <c r="BH414" t="s">
        <v>74</v>
      </c>
      <c r="BI414">
        <v>4</v>
      </c>
      <c r="BJ414" t="s">
        <v>5683</v>
      </c>
      <c r="BK414" t="s">
        <v>143</v>
      </c>
      <c r="BL414" t="s">
        <v>5684</v>
      </c>
      <c r="BM414" t="s">
        <v>5685</v>
      </c>
      <c r="BN414" t="s">
        <v>74</v>
      </c>
      <c r="BO414" t="s">
        <v>74</v>
      </c>
      <c r="BP414" t="s">
        <v>74</v>
      </c>
      <c r="BQ414" t="s">
        <v>74</v>
      </c>
      <c r="BR414" t="s">
        <v>99</v>
      </c>
      <c r="BS414" t="s">
        <v>5686</v>
      </c>
      <c r="BT414" t="str">
        <f>HYPERLINK("https%3A%2F%2Fwww.webofscience.com%2Fwos%2Fwoscc%2Ffull-record%2FWOS:000081548400023","View Full Record in Web of Science")</f>
        <v>View Full Record in Web of Science</v>
      </c>
    </row>
    <row r="415" spans="1:72" x14ac:dyDescent="0.15">
      <c r="A415" t="s">
        <v>72</v>
      </c>
      <c r="B415" t="s">
        <v>5687</v>
      </c>
      <c r="C415" t="s">
        <v>74</v>
      </c>
      <c r="D415" t="s">
        <v>74</v>
      </c>
      <c r="E415" t="s">
        <v>74</v>
      </c>
      <c r="F415" t="s">
        <v>5687</v>
      </c>
      <c r="G415" t="s">
        <v>74</v>
      </c>
      <c r="H415" t="s">
        <v>74</v>
      </c>
      <c r="I415" t="s">
        <v>5688</v>
      </c>
      <c r="J415" t="s">
        <v>1123</v>
      </c>
      <c r="K415" t="s">
        <v>74</v>
      </c>
      <c r="L415" t="s">
        <v>74</v>
      </c>
      <c r="M415" t="s">
        <v>77</v>
      </c>
      <c r="N415" t="s">
        <v>254</v>
      </c>
      <c r="O415" t="s">
        <v>74</v>
      </c>
      <c r="P415" t="s">
        <v>74</v>
      </c>
      <c r="Q415" t="s">
        <v>74</v>
      </c>
      <c r="R415" t="s">
        <v>74</v>
      </c>
      <c r="S415" t="s">
        <v>74</v>
      </c>
      <c r="T415" t="s">
        <v>74</v>
      </c>
      <c r="U415" t="s">
        <v>5689</v>
      </c>
      <c r="V415" t="s">
        <v>5690</v>
      </c>
      <c r="W415" t="s">
        <v>5691</v>
      </c>
      <c r="X415" t="s">
        <v>5692</v>
      </c>
      <c r="Y415" t="s">
        <v>5693</v>
      </c>
      <c r="Z415" t="s">
        <v>74</v>
      </c>
      <c r="AA415" t="s">
        <v>5694</v>
      </c>
      <c r="AB415" t="s">
        <v>5695</v>
      </c>
      <c r="AC415" t="s">
        <v>74</v>
      </c>
      <c r="AD415" t="s">
        <v>74</v>
      </c>
      <c r="AE415" t="s">
        <v>74</v>
      </c>
      <c r="AF415" t="s">
        <v>74</v>
      </c>
      <c r="AG415">
        <v>107</v>
      </c>
      <c r="AH415">
        <v>48</v>
      </c>
      <c r="AI415">
        <v>55</v>
      </c>
      <c r="AJ415">
        <v>1</v>
      </c>
      <c r="AK415">
        <v>12</v>
      </c>
      <c r="AL415" t="s">
        <v>1090</v>
      </c>
      <c r="AM415" t="s">
        <v>276</v>
      </c>
      <c r="AN415" t="s">
        <v>1091</v>
      </c>
      <c r="AO415" t="s">
        <v>1131</v>
      </c>
      <c r="AP415" t="s">
        <v>74</v>
      </c>
      <c r="AQ415" t="s">
        <v>74</v>
      </c>
      <c r="AR415" t="s">
        <v>1133</v>
      </c>
      <c r="AS415" t="s">
        <v>1134</v>
      </c>
      <c r="AT415" t="s">
        <v>5141</v>
      </c>
      <c r="AU415">
        <v>1999</v>
      </c>
      <c r="AV415">
        <v>21</v>
      </c>
      <c r="AW415">
        <v>7</v>
      </c>
      <c r="AX415" t="s">
        <v>74</v>
      </c>
      <c r="AY415" t="s">
        <v>74</v>
      </c>
      <c r="AZ415" t="s">
        <v>74</v>
      </c>
      <c r="BA415" t="s">
        <v>74</v>
      </c>
      <c r="BB415">
        <v>1265</v>
      </c>
      <c r="BC415">
        <v>1298</v>
      </c>
      <c r="BD415" t="s">
        <v>74</v>
      </c>
      <c r="BE415" t="s">
        <v>5696</v>
      </c>
      <c r="BF415" t="str">
        <f>HYPERLINK("http://dx.doi.org/10.1093/plankt/21.7.1265","http://dx.doi.org/10.1093/plankt/21.7.1265")</f>
        <v>http://dx.doi.org/10.1093/plankt/21.7.1265</v>
      </c>
      <c r="BG415" t="s">
        <v>74</v>
      </c>
      <c r="BH415" t="s">
        <v>74</v>
      </c>
      <c r="BI415">
        <v>34</v>
      </c>
      <c r="BJ415" t="s">
        <v>1136</v>
      </c>
      <c r="BK415" t="s">
        <v>96</v>
      </c>
      <c r="BL415" t="s">
        <v>1136</v>
      </c>
      <c r="BM415" t="s">
        <v>5697</v>
      </c>
      <c r="BN415" t="s">
        <v>74</v>
      </c>
      <c r="BO415" t="s">
        <v>1505</v>
      </c>
      <c r="BP415" t="s">
        <v>74</v>
      </c>
      <c r="BQ415" t="s">
        <v>74</v>
      </c>
      <c r="BR415" t="s">
        <v>99</v>
      </c>
      <c r="BS415" t="s">
        <v>5698</v>
      </c>
      <c r="BT415" t="str">
        <f>HYPERLINK("https%3A%2F%2Fwww.webofscience.com%2Fwos%2Fwoscc%2Ffull-record%2FWOS:000081789500005","View Full Record in Web of Science")</f>
        <v>View Full Record in Web of Science</v>
      </c>
    </row>
    <row r="416" spans="1:72" x14ac:dyDescent="0.15">
      <c r="A416" t="s">
        <v>72</v>
      </c>
      <c r="B416" t="s">
        <v>5699</v>
      </c>
      <c r="C416" t="s">
        <v>74</v>
      </c>
      <c r="D416" t="s">
        <v>74</v>
      </c>
      <c r="E416" t="s">
        <v>74</v>
      </c>
      <c r="F416" t="s">
        <v>5699</v>
      </c>
      <c r="G416" t="s">
        <v>74</v>
      </c>
      <c r="H416" t="s">
        <v>74</v>
      </c>
      <c r="I416" t="s">
        <v>5700</v>
      </c>
      <c r="J416" t="s">
        <v>1123</v>
      </c>
      <c r="K416" t="s">
        <v>74</v>
      </c>
      <c r="L416" t="s">
        <v>74</v>
      </c>
      <c r="M416" t="s">
        <v>77</v>
      </c>
      <c r="N416" t="s">
        <v>78</v>
      </c>
      <c r="O416" t="s">
        <v>74</v>
      </c>
      <c r="P416" t="s">
        <v>74</v>
      </c>
      <c r="Q416" t="s">
        <v>74</v>
      </c>
      <c r="R416" t="s">
        <v>74</v>
      </c>
      <c r="S416" t="s">
        <v>74</v>
      </c>
      <c r="T416" t="s">
        <v>74</v>
      </c>
      <c r="U416" t="s">
        <v>5701</v>
      </c>
      <c r="V416" t="s">
        <v>5702</v>
      </c>
      <c r="W416" t="s">
        <v>5703</v>
      </c>
      <c r="X416" t="s">
        <v>272</v>
      </c>
      <c r="Y416" t="s">
        <v>5704</v>
      </c>
      <c r="Z416" t="s">
        <v>74</v>
      </c>
      <c r="AA416" t="s">
        <v>74</v>
      </c>
      <c r="AB416" t="s">
        <v>74</v>
      </c>
      <c r="AC416" t="s">
        <v>74</v>
      </c>
      <c r="AD416" t="s">
        <v>74</v>
      </c>
      <c r="AE416" t="s">
        <v>74</v>
      </c>
      <c r="AF416" t="s">
        <v>74</v>
      </c>
      <c r="AG416">
        <v>43</v>
      </c>
      <c r="AH416">
        <v>24</v>
      </c>
      <c r="AI416">
        <v>24</v>
      </c>
      <c r="AJ416">
        <v>0</v>
      </c>
      <c r="AK416">
        <v>6</v>
      </c>
      <c r="AL416" t="s">
        <v>1090</v>
      </c>
      <c r="AM416" t="s">
        <v>276</v>
      </c>
      <c r="AN416" t="s">
        <v>1091</v>
      </c>
      <c r="AO416" t="s">
        <v>1131</v>
      </c>
      <c r="AP416" t="s">
        <v>74</v>
      </c>
      <c r="AQ416" t="s">
        <v>74</v>
      </c>
      <c r="AR416" t="s">
        <v>1133</v>
      </c>
      <c r="AS416" t="s">
        <v>1134</v>
      </c>
      <c r="AT416" t="s">
        <v>5141</v>
      </c>
      <c r="AU416">
        <v>1999</v>
      </c>
      <c r="AV416">
        <v>21</v>
      </c>
      <c r="AW416">
        <v>7</v>
      </c>
      <c r="AX416" t="s">
        <v>74</v>
      </c>
      <c r="AY416" t="s">
        <v>74</v>
      </c>
      <c r="AZ416" t="s">
        <v>74</v>
      </c>
      <c r="BA416" t="s">
        <v>74</v>
      </c>
      <c r="BB416">
        <v>1373</v>
      </c>
      <c r="BC416">
        <v>1388</v>
      </c>
      <c r="BD416" t="s">
        <v>74</v>
      </c>
      <c r="BE416" t="s">
        <v>5705</v>
      </c>
      <c r="BF416" t="str">
        <f>HYPERLINK("http://dx.doi.org/10.1093/plankt/21.7.1373","http://dx.doi.org/10.1093/plankt/21.7.1373")</f>
        <v>http://dx.doi.org/10.1093/plankt/21.7.1373</v>
      </c>
      <c r="BG416" t="s">
        <v>74</v>
      </c>
      <c r="BH416" t="s">
        <v>74</v>
      </c>
      <c r="BI416">
        <v>16</v>
      </c>
      <c r="BJ416" t="s">
        <v>1136</v>
      </c>
      <c r="BK416" t="s">
        <v>96</v>
      </c>
      <c r="BL416" t="s">
        <v>1136</v>
      </c>
      <c r="BM416" t="s">
        <v>5697</v>
      </c>
      <c r="BN416" t="s">
        <v>74</v>
      </c>
      <c r="BO416" t="s">
        <v>250</v>
      </c>
      <c r="BP416" t="s">
        <v>74</v>
      </c>
      <c r="BQ416" t="s">
        <v>74</v>
      </c>
      <c r="BR416" t="s">
        <v>99</v>
      </c>
      <c r="BS416" t="s">
        <v>5706</v>
      </c>
      <c r="BT416" t="str">
        <f>HYPERLINK("https%3A%2F%2Fwww.webofscience.com%2Fwos%2Fwoscc%2Ffull-record%2FWOS:000081789500010","View Full Record in Web of Science")</f>
        <v>View Full Record in Web of Science</v>
      </c>
    </row>
    <row r="417" spans="1:72" x14ac:dyDescent="0.15">
      <c r="A417" t="s">
        <v>72</v>
      </c>
      <c r="B417" t="s">
        <v>5707</v>
      </c>
      <c r="C417" t="s">
        <v>74</v>
      </c>
      <c r="D417" t="s">
        <v>74</v>
      </c>
      <c r="E417" t="s">
        <v>74</v>
      </c>
      <c r="F417" t="s">
        <v>5707</v>
      </c>
      <c r="G417" t="s">
        <v>74</v>
      </c>
      <c r="H417" t="s">
        <v>74</v>
      </c>
      <c r="I417" t="s">
        <v>5708</v>
      </c>
      <c r="J417" t="s">
        <v>1141</v>
      </c>
      <c r="K417" t="s">
        <v>74</v>
      </c>
      <c r="L417" t="s">
        <v>74</v>
      </c>
      <c r="M417" t="s">
        <v>77</v>
      </c>
      <c r="N417" t="s">
        <v>78</v>
      </c>
      <c r="O417" t="s">
        <v>74</v>
      </c>
      <c r="P417" t="s">
        <v>74</v>
      </c>
      <c r="Q417" t="s">
        <v>74</v>
      </c>
      <c r="R417" t="s">
        <v>74</v>
      </c>
      <c r="S417" t="s">
        <v>74</v>
      </c>
      <c r="T417" t="s">
        <v>74</v>
      </c>
      <c r="U417" t="s">
        <v>5709</v>
      </c>
      <c r="V417" t="s">
        <v>5710</v>
      </c>
      <c r="W417" t="s">
        <v>1928</v>
      </c>
      <c r="X417" t="s">
        <v>131</v>
      </c>
      <c r="Y417" t="s">
        <v>5711</v>
      </c>
      <c r="Z417" t="s">
        <v>5712</v>
      </c>
      <c r="AA417" t="s">
        <v>74</v>
      </c>
      <c r="AB417" t="s">
        <v>74</v>
      </c>
      <c r="AC417" t="s">
        <v>74</v>
      </c>
      <c r="AD417" t="s">
        <v>74</v>
      </c>
      <c r="AE417" t="s">
        <v>74</v>
      </c>
      <c r="AF417" t="s">
        <v>74</v>
      </c>
      <c r="AG417">
        <v>47</v>
      </c>
      <c r="AH417">
        <v>30</v>
      </c>
      <c r="AI417">
        <v>31</v>
      </c>
      <c r="AJ417">
        <v>1</v>
      </c>
      <c r="AK417">
        <v>12</v>
      </c>
      <c r="AL417" t="s">
        <v>1150</v>
      </c>
      <c r="AM417" t="s">
        <v>1151</v>
      </c>
      <c r="AN417" t="s">
        <v>1152</v>
      </c>
      <c r="AO417" t="s">
        <v>1153</v>
      </c>
      <c r="AP417" t="s">
        <v>1154</v>
      </c>
      <c r="AQ417" t="s">
        <v>74</v>
      </c>
      <c r="AR417" t="s">
        <v>1155</v>
      </c>
      <c r="AS417" t="s">
        <v>1156</v>
      </c>
      <c r="AT417" t="s">
        <v>5141</v>
      </c>
      <c r="AU417">
        <v>1999</v>
      </c>
      <c r="AV417">
        <v>69</v>
      </c>
      <c r="AW417">
        <v>4</v>
      </c>
      <c r="AX417" t="s">
        <v>1157</v>
      </c>
      <c r="AY417" t="s">
        <v>74</v>
      </c>
      <c r="AZ417" t="s">
        <v>74</v>
      </c>
      <c r="BA417" t="s">
        <v>74</v>
      </c>
      <c r="BB417">
        <v>847</v>
      </c>
      <c r="BC417">
        <v>861</v>
      </c>
      <c r="BD417" t="s">
        <v>74</v>
      </c>
      <c r="BE417" t="s">
        <v>5713</v>
      </c>
      <c r="BF417" t="str">
        <f>HYPERLINK("http://dx.doi.org/10.2110/jsr.69.847","http://dx.doi.org/10.2110/jsr.69.847")</f>
        <v>http://dx.doi.org/10.2110/jsr.69.847</v>
      </c>
      <c r="BG417" t="s">
        <v>74</v>
      </c>
      <c r="BH417" t="s">
        <v>74</v>
      </c>
      <c r="BI417">
        <v>15</v>
      </c>
      <c r="BJ417" t="s">
        <v>388</v>
      </c>
      <c r="BK417" t="s">
        <v>96</v>
      </c>
      <c r="BL417" t="s">
        <v>388</v>
      </c>
      <c r="BM417" t="s">
        <v>5714</v>
      </c>
      <c r="BN417" t="s">
        <v>74</v>
      </c>
      <c r="BO417" t="s">
        <v>74</v>
      </c>
      <c r="BP417" t="s">
        <v>74</v>
      </c>
      <c r="BQ417" t="s">
        <v>74</v>
      </c>
      <c r="BR417" t="s">
        <v>99</v>
      </c>
      <c r="BS417" t="s">
        <v>5715</v>
      </c>
      <c r="BT417" t="str">
        <f>HYPERLINK("https%3A%2F%2Fwww.webofscience.com%2Fwos%2Fwoscc%2Ffull-record%2FWOS:000081351700004","View Full Record in Web of Science")</f>
        <v>View Full Record in Web of Science</v>
      </c>
    </row>
    <row r="418" spans="1:72" x14ac:dyDescent="0.15">
      <c r="A418" t="s">
        <v>72</v>
      </c>
      <c r="B418" t="s">
        <v>5716</v>
      </c>
      <c r="C418" t="s">
        <v>74</v>
      </c>
      <c r="D418" t="s">
        <v>74</v>
      </c>
      <c r="E418" t="s">
        <v>74</v>
      </c>
      <c r="F418" t="s">
        <v>5716</v>
      </c>
      <c r="G418" t="s">
        <v>74</v>
      </c>
      <c r="H418" t="s">
        <v>74</v>
      </c>
      <c r="I418" t="s">
        <v>5717</v>
      </c>
      <c r="J418" t="s">
        <v>1163</v>
      </c>
      <c r="K418" t="s">
        <v>74</v>
      </c>
      <c r="L418" t="s">
        <v>74</v>
      </c>
      <c r="M418" t="s">
        <v>77</v>
      </c>
      <c r="N418" t="s">
        <v>78</v>
      </c>
      <c r="O418" t="s">
        <v>74</v>
      </c>
      <c r="P418" t="s">
        <v>74</v>
      </c>
      <c r="Q418" t="s">
        <v>74</v>
      </c>
      <c r="R418" t="s">
        <v>74</v>
      </c>
      <c r="S418" t="s">
        <v>74</v>
      </c>
      <c r="T418" t="s">
        <v>5718</v>
      </c>
      <c r="U418" t="s">
        <v>5719</v>
      </c>
      <c r="V418" t="s">
        <v>5720</v>
      </c>
      <c r="W418" t="s">
        <v>5721</v>
      </c>
      <c r="X418" t="s">
        <v>5722</v>
      </c>
      <c r="Y418" t="s">
        <v>5723</v>
      </c>
      <c r="Z418" t="s">
        <v>74</v>
      </c>
      <c r="AA418" t="s">
        <v>5724</v>
      </c>
      <c r="AB418" t="s">
        <v>1779</v>
      </c>
      <c r="AC418" t="s">
        <v>74</v>
      </c>
      <c r="AD418" t="s">
        <v>74</v>
      </c>
      <c r="AE418" t="s">
        <v>74</v>
      </c>
      <c r="AF418" t="s">
        <v>74</v>
      </c>
      <c r="AG418">
        <v>71</v>
      </c>
      <c r="AH418">
        <v>118</v>
      </c>
      <c r="AI418">
        <v>130</v>
      </c>
      <c r="AJ418">
        <v>1</v>
      </c>
      <c r="AK418">
        <v>20</v>
      </c>
      <c r="AL418" t="s">
        <v>1175</v>
      </c>
      <c r="AM418" t="s">
        <v>1176</v>
      </c>
      <c r="AN418" t="s">
        <v>1177</v>
      </c>
      <c r="AO418" t="s">
        <v>1178</v>
      </c>
      <c r="AP418" t="s">
        <v>74</v>
      </c>
      <c r="AQ418" t="s">
        <v>74</v>
      </c>
      <c r="AR418" t="s">
        <v>1179</v>
      </c>
      <c r="AS418" t="s">
        <v>1180</v>
      </c>
      <c r="AT418" t="s">
        <v>5141</v>
      </c>
      <c r="AU418">
        <v>1999</v>
      </c>
      <c r="AV418">
        <v>156</v>
      </c>
      <c r="AW418" t="s">
        <v>74</v>
      </c>
      <c r="AX418">
        <v>4</v>
      </c>
      <c r="AY418" t="s">
        <v>74</v>
      </c>
      <c r="AZ418" t="s">
        <v>74</v>
      </c>
      <c r="BA418" t="s">
        <v>74</v>
      </c>
      <c r="BB418">
        <v>659</v>
      </c>
      <c r="BC418">
        <v>671</v>
      </c>
      <c r="BD418" t="s">
        <v>74</v>
      </c>
      <c r="BE418" t="s">
        <v>5725</v>
      </c>
      <c r="BF418" t="str">
        <f>HYPERLINK("http://dx.doi.org/10.1144/gsjgs.156.4.0659","http://dx.doi.org/10.1144/gsjgs.156.4.0659")</f>
        <v>http://dx.doi.org/10.1144/gsjgs.156.4.0659</v>
      </c>
      <c r="BG418" t="s">
        <v>74</v>
      </c>
      <c r="BH418" t="s">
        <v>74</v>
      </c>
      <c r="BI418">
        <v>13</v>
      </c>
      <c r="BJ418" t="s">
        <v>387</v>
      </c>
      <c r="BK418" t="s">
        <v>96</v>
      </c>
      <c r="BL418" t="s">
        <v>388</v>
      </c>
      <c r="BM418" t="s">
        <v>5726</v>
      </c>
      <c r="BN418" t="s">
        <v>74</v>
      </c>
      <c r="BO418" t="s">
        <v>74</v>
      </c>
      <c r="BP418" t="s">
        <v>74</v>
      </c>
      <c r="BQ418" t="s">
        <v>74</v>
      </c>
      <c r="BR418" t="s">
        <v>99</v>
      </c>
      <c r="BS418" t="s">
        <v>5727</v>
      </c>
      <c r="BT418" t="str">
        <f>HYPERLINK("https%3A%2F%2Fwww.webofscience.com%2Fwos%2Fwoscc%2Ffull-record%2FWOS:000081668800001","View Full Record in Web of Science")</f>
        <v>View Full Record in Web of Science</v>
      </c>
    </row>
    <row r="419" spans="1:72" x14ac:dyDescent="0.15">
      <c r="A419" t="s">
        <v>72</v>
      </c>
      <c r="B419" t="s">
        <v>5728</v>
      </c>
      <c r="C419" t="s">
        <v>74</v>
      </c>
      <c r="D419" t="s">
        <v>74</v>
      </c>
      <c r="E419" t="s">
        <v>74</v>
      </c>
      <c r="F419" t="s">
        <v>5728</v>
      </c>
      <c r="G419" t="s">
        <v>74</v>
      </c>
      <c r="H419" t="s">
        <v>74</v>
      </c>
      <c r="I419" t="s">
        <v>5729</v>
      </c>
      <c r="J419" t="s">
        <v>1163</v>
      </c>
      <c r="K419" t="s">
        <v>74</v>
      </c>
      <c r="L419" t="s">
        <v>74</v>
      </c>
      <c r="M419" t="s">
        <v>77</v>
      </c>
      <c r="N419" t="s">
        <v>78</v>
      </c>
      <c r="O419" t="s">
        <v>74</v>
      </c>
      <c r="P419" t="s">
        <v>74</v>
      </c>
      <c r="Q419" t="s">
        <v>74</v>
      </c>
      <c r="R419" t="s">
        <v>74</v>
      </c>
      <c r="S419" t="s">
        <v>74</v>
      </c>
      <c r="T419" t="s">
        <v>5730</v>
      </c>
      <c r="U419" t="s">
        <v>5731</v>
      </c>
      <c r="V419" t="s">
        <v>5732</v>
      </c>
      <c r="W419" t="s">
        <v>5733</v>
      </c>
      <c r="X419" t="s">
        <v>5734</v>
      </c>
      <c r="Y419" t="s">
        <v>5735</v>
      </c>
      <c r="Z419" t="s">
        <v>74</v>
      </c>
      <c r="AA419" t="s">
        <v>5736</v>
      </c>
      <c r="AB419" t="s">
        <v>74</v>
      </c>
      <c r="AC419" t="s">
        <v>74</v>
      </c>
      <c r="AD419" t="s">
        <v>74</v>
      </c>
      <c r="AE419" t="s">
        <v>74</v>
      </c>
      <c r="AF419" t="s">
        <v>74</v>
      </c>
      <c r="AG419">
        <v>59</v>
      </c>
      <c r="AH419">
        <v>227</v>
      </c>
      <c r="AI419">
        <v>241</v>
      </c>
      <c r="AJ419">
        <v>0</v>
      </c>
      <c r="AK419">
        <v>22</v>
      </c>
      <c r="AL419" t="s">
        <v>1175</v>
      </c>
      <c r="AM419" t="s">
        <v>1176</v>
      </c>
      <c r="AN419" t="s">
        <v>1177</v>
      </c>
      <c r="AO419" t="s">
        <v>1178</v>
      </c>
      <c r="AP419" t="s">
        <v>74</v>
      </c>
      <c r="AQ419" t="s">
        <v>74</v>
      </c>
      <c r="AR419" t="s">
        <v>1179</v>
      </c>
      <c r="AS419" t="s">
        <v>1180</v>
      </c>
      <c r="AT419" t="s">
        <v>5141</v>
      </c>
      <c r="AU419">
        <v>1999</v>
      </c>
      <c r="AV419">
        <v>156</v>
      </c>
      <c r="AW419" t="s">
        <v>74</v>
      </c>
      <c r="AX419">
        <v>4</v>
      </c>
      <c r="AY419" t="s">
        <v>74</v>
      </c>
      <c r="AZ419" t="s">
        <v>74</v>
      </c>
      <c r="BA419" t="s">
        <v>74</v>
      </c>
      <c r="BB419">
        <v>673</v>
      </c>
      <c r="BC419">
        <v>694</v>
      </c>
      <c r="BD419" t="s">
        <v>74</v>
      </c>
      <c r="BE419" t="s">
        <v>5737</v>
      </c>
      <c r="BF419" t="str">
        <f>HYPERLINK("http://dx.doi.org/10.1144/gsjgs.156.4.0673","http://dx.doi.org/10.1144/gsjgs.156.4.0673")</f>
        <v>http://dx.doi.org/10.1144/gsjgs.156.4.0673</v>
      </c>
      <c r="BG419" t="s">
        <v>74</v>
      </c>
      <c r="BH419" t="s">
        <v>74</v>
      </c>
      <c r="BI419">
        <v>22</v>
      </c>
      <c r="BJ419" t="s">
        <v>387</v>
      </c>
      <c r="BK419" t="s">
        <v>96</v>
      </c>
      <c r="BL419" t="s">
        <v>388</v>
      </c>
      <c r="BM419" t="s">
        <v>5726</v>
      </c>
      <c r="BN419" t="s">
        <v>74</v>
      </c>
      <c r="BO419" t="s">
        <v>74</v>
      </c>
      <c r="BP419" t="s">
        <v>74</v>
      </c>
      <c r="BQ419" t="s">
        <v>74</v>
      </c>
      <c r="BR419" t="s">
        <v>99</v>
      </c>
      <c r="BS419" t="s">
        <v>5738</v>
      </c>
      <c r="BT419" t="str">
        <f>HYPERLINK("https%3A%2F%2Fwww.webofscience.com%2Fwos%2Fwoscc%2Ffull-record%2FWOS:000081668800002","View Full Record in Web of Science")</f>
        <v>View Full Record in Web of Science</v>
      </c>
    </row>
    <row r="420" spans="1:72" x14ac:dyDescent="0.15">
      <c r="A420" t="s">
        <v>72</v>
      </c>
      <c r="B420" t="s">
        <v>5739</v>
      </c>
      <c r="C420" t="s">
        <v>74</v>
      </c>
      <c r="D420" t="s">
        <v>74</v>
      </c>
      <c r="E420" t="s">
        <v>74</v>
      </c>
      <c r="F420" t="s">
        <v>5739</v>
      </c>
      <c r="G420" t="s">
        <v>74</v>
      </c>
      <c r="H420" t="s">
        <v>74</v>
      </c>
      <c r="I420" t="s">
        <v>5740</v>
      </c>
      <c r="J420" t="s">
        <v>1163</v>
      </c>
      <c r="K420" t="s">
        <v>74</v>
      </c>
      <c r="L420" t="s">
        <v>74</v>
      </c>
      <c r="M420" t="s">
        <v>77</v>
      </c>
      <c r="N420" t="s">
        <v>123</v>
      </c>
      <c r="O420" t="s">
        <v>5741</v>
      </c>
      <c r="P420" t="s">
        <v>5742</v>
      </c>
      <c r="Q420" t="s">
        <v>5743</v>
      </c>
      <c r="R420" t="s">
        <v>74</v>
      </c>
      <c r="S420" t="s">
        <v>5744</v>
      </c>
      <c r="T420" t="s">
        <v>5745</v>
      </c>
      <c r="U420" t="s">
        <v>5746</v>
      </c>
      <c r="V420" t="s">
        <v>5747</v>
      </c>
      <c r="W420" t="s">
        <v>5748</v>
      </c>
      <c r="X420" t="s">
        <v>5749</v>
      </c>
      <c r="Y420" t="s">
        <v>5750</v>
      </c>
      <c r="Z420" t="s">
        <v>74</v>
      </c>
      <c r="AA420" t="s">
        <v>5751</v>
      </c>
      <c r="AB420" t="s">
        <v>5752</v>
      </c>
      <c r="AC420" t="s">
        <v>74</v>
      </c>
      <c r="AD420" t="s">
        <v>74</v>
      </c>
      <c r="AE420" t="s">
        <v>74</v>
      </c>
      <c r="AF420" t="s">
        <v>74</v>
      </c>
      <c r="AG420">
        <v>37</v>
      </c>
      <c r="AH420">
        <v>20</v>
      </c>
      <c r="AI420">
        <v>20</v>
      </c>
      <c r="AJ420">
        <v>0</v>
      </c>
      <c r="AK420">
        <v>3</v>
      </c>
      <c r="AL420" t="s">
        <v>1175</v>
      </c>
      <c r="AM420" t="s">
        <v>1176</v>
      </c>
      <c r="AN420" t="s">
        <v>1177</v>
      </c>
      <c r="AO420" t="s">
        <v>1178</v>
      </c>
      <c r="AP420" t="s">
        <v>74</v>
      </c>
      <c r="AQ420" t="s">
        <v>74</v>
      </c>
      <c r="AR420" t="s">
        <v>1179</v>
      </c>
      <c r="AS420" t="s">
        <v>1180</v>
      </c>
      <c r="AT420" t="s">
        <v>5141</v>
      </c>
      <c r="AU420">
        <v>1999</v>
      </c>
      <c r="AV420">
        <v>156</v>
      </c>
      <c r="AW420" t="s">
        <v>74</v>
      </c>
      <c r="AX420">
        <v>4</v>
      </c>
      <c r="AY420" t="s">
        <v>74</v>
      </c>
      <c r="AZ420" t="s">
        <v>74</v>
      </c>
      <c r="BA420" t="s">
        <v>74</v>
      </c>
      <c r="BB420">
        <v>855</v>
      </c>
      <c r="BC420">
        <v>863</v>
      </c>
      <c r="BD420" t="s">
        <v>74</v>
      </c>
      <c r="BE420" t="s">
        <v>5753</v>
      </c>
      <c r="BF420" t="str">
        <f>HYPERLINK("http://dx.doi.org/10.1144/gsjgs.156.4.0855","http://dx.doi.org/10.1144/gsjgs.156.4.0855")</f>
        <v>http://dx.doi.org/10.1144/gsjgs.156.4.0855</v>
      </c>
      <c r="BG420" t="s">
        <v>74</v>
      </c>
      <c r="BH420" t="s">
        <v>74</v>
      </c>
      <c r="BI420">
        <v>9</v>
      </c>
      <c r="BJ420" t="s">
        <v>387</v>
      </c>
      <c r="BK420" t="s">
        <v>143</v>
      </c>
      <c r="BL420" t="s">
        <v>388</v>
      </c>
      <c r="BM420" t="s">
        <v>5726</v>
      </c>
      <c r="BN420" t="s">
        <v>74</v>
      </c>
      <c r="BO420" t="s">
        <v>74</v>
      </c>
      <c r="BP420" t="s">
        <v>74</v>
      </c>
      <c r="BQ420" t="s">
        <v>74</v>
      </c>
      <c r="BR420" t="s">
        <v>99</v>
      </c>
      <c r="BS420" t="s">
        <v>5754</v>
      </c>
      <c r="BT420" t="str">
        <f>HYPERLINK("https%3A%2F%2Fwww.webofscience.com%2Fwos%2Fwoscc%2Ffull-record%2FWOS:000081668800018","View Full Record in Web of Science")</f>
        <v>View Full Record in Web of Science</v>
      </c>
    </row>
    <row r="421" spans="1:72" x14ac:dyDescent="0.15">
      <c r="A421" t="s">
        <v>72</v>
      </c>
      <c r="B421" t="s">
        <v>5755</v>
      </c>
      <c r="C421" t="s">
        <v>74</v>
      </c>
      <c r="D421" t="s">
        <v>74</v>
      </c>
      <c r="E421" t="s">
        <v>74</v>
      </c>
      <c r="F421" t="s">
        <v>5755</v>
      </c>
      <c r="G421" t="s">
        <v>74</v>
      </c>
      <c r="H421" t="s">
        <v>74</v>
      </c>
      <c r="I421" t="s">
        <v>5756</v>
      </c>
      <c r="J421" t="s">
        <v>1218</v>
      </c>
      <c r="K421" t="s">
        <v>74</v>
      </c>
      <c r="L421" t="s">
        <v>74</v>
      </c>
      <c r="M421" t="s">
        <v>77</v>
      </c>
      <c r="N421" t="s">
        <v>78</v>
      </c>
      <c r="O421" t="s">
        <v>74</v>
      </c>
      <c r="P421" t="s">
        <v>74</v>
      </c>
      <c r="Q421" t="s">
        <v>74</v>
      </c>
      <c r="R421" t="s">
        <v>74</v>
      </c>
      <c r="S421" t="s">
        <v>74</v>
      </c>
      <c r="T421" t="s">
        <v>74</v>
      </c>
      <c r="U421" t="s">
        <v>5757</v>
      </c>
      <c r="V421" t="s">
        <v>5758</v>
      </c>
      <c r="W421" t="s">
        <v>151</v>
      </c>
      <c r="X421" t="s">
        <v>131</v>
      </c>
      <c r="Y421" t="s">
        <v>5759</v>
      </c>
      <c r="Z421" t="s">
        <v>74</v>
      </c>
      <c r="AA421" t="s">
        <v>5760</v>
      </c>
      <c r="AB421" t="s">
        <v>5761</v>
      </c>
      <c r="AC421" t="s">
        <v>74</v>
      </c>
      <c r="AD421" t="s">
        <v>74</v>
      </c>
      <c r="AE421" t="s">
        <v>74</v>
      </c>
      <c r="AF421" t="s">
        <v>74</v>
      </c>
      <c r="AG421">
        <v>41</v>
      </c>
      <c r="AH421">
        <v>28</v>
      </c>
      <c r="AI421">
        <v>31</v>
      </c>
      <c r="AJ421">
        <v>0</v>
      </c>
      <c r="AK421">
        <v>9</v>
      </c>
      <c r="AL421" t="s">
        <v>553</v>
      </c>
      <c r="AM421" t="s">
        <v>554</v>
      </c>
      <c r="AN421" t="s">
        <v>555</v>
      </c>
      <c r="AO421" t="s">
        <v>1225</v>
      </c>
      <c r="AP421" t="s">
        <v>74</v>
      </c>
      <c r="AQ421" t="s">
        <v>74</v>
      </c>
      <c r="AR421" t="s">
        <v>1226</v>
      </c>
      <c r="AS421" t="s">
        <v>1227</v>
      </c>
      <c r="AT421" t="s">
        <v>5141</v>
      </c>
      <c r="AU421">
        <v>1999</v>
      </c>
      <c r="AV421">
        <v>134</v>
      </c>
      <c r="AW421">
        <v>2</v>
      </c>
      <c r="AX421" t="s">
        <v>74</v>
      </c>
      <c r="AY421" t="s">
        <v>74</v>
      </c>
      <c r="AZ421" t="s">
        <v>74</v>
      </c>
      <c r="BA421" t="s">
        <v>74</v>
      </c>
      <c r="BB421">
        <v>387</v>
      </c>
      <c r="BC421">
        <v>395</v>
      </c>
      <c r="BD421" t="s">
        <v>74</v>
      </c>
      <c r="BE421" t="s">
        <v>5762</v>
      </c>
      <c r="BF421" t="str">
        <f>HYPERLINK("http://dx.doi.org/10.1007/s002270050555","http://dx.doi.org/10.1007/s002270050555")</f>
        <v>http://dx.doi.org/10.1007/s002270050555</v>
      </c>
      <c r="BG421" t="s">
        <v>74</v>
      </c>
      <c r="BH421" t="s">
        <v>74</v>
      </c>
      <c r="BI421">
        <v>9</v>
      </c>
      <c r="BJ421" t="s">
        <v>1229</v>
      </c>
      <c r="BK421" t="s">
        <v>96</v>
      </c>
      <c r="BL421" t="s">
        <v>1229</v>
      </c>
      <c r="BM421" t="s">
        <v>5763</v>
      </c>
      <c r="BN421" t="s">
        <v>74</v>
      </c>
      <c r="BO421" t="s">
        <v>74</v>
      </c>
      <c r="BP421" t="s">
        <v>74</v>
      </c>
      <c r="BQ421" t="s">
        <v>74</v>
      </c>
      <c r="BR421" t="s">
        <v>99</v>
      </c>
      <c r="BS421" t="s">
        <v>5764</v>
      </c>
      <c r="BT421" t="str">
        <f>HYPERLINK("https%3A%2F%2Fwww.webofscience.com%2Fwos%2Fwoscc%2Ffull-record%2FWOS:000081647000016","View Full Record in Web of Science")</f>
        <v>View Full Record in Web of Science</v>
      </c>
    </row>
    <row r="422" spans="1:72" x14ac:dyDescent="0.15">
      <c r="A422" t="s">
        <v>72</v>
      </c>
      <c r="B422" t="s">
        <v>5765</v>
      </c>
      <c r="C422" t="s">
        <v>74</v>
      </c>
      <c r="D422" t="s">
        <v>74</v>
      </c>
      <c r="E422" t="s">
        <v>74</v>
      </c>
      <c r="F422" t="s">
        <v>5765</v>
      </c>
      <c r="G422" t="s">
        <v>74</v>
      </c>
      <c r="H422" t="s">
        <v>74</v>
      </c>
      <c r="I422" t="s">
        <v>5766</v>
      </c>
      <c r="J422" t="s">
        <v>2318</v>
      </c>
      <c r="K422" t="s">
        <v>74</v>
      </c>
      <c r="L422" t="s">
        <v>74</v>
      </c>
      <c r="M422" t="s">
        <v>77</v>
      </c>
      <c r="N422" t="s">
        <v>78</v>
      </c>
      <c r="O422" t="s">
        <v>74</v>
      </c>
      <c r="P422" t="s">
        <v>74</v>
      </c>
      <c r="Q422" t="s">
        <v>74</v>
      </c>
      <c r="R422" t="s">
        <v>74</v>
      </c>
      <c r="S422" t="s">
        <v>74</v>
      </c>
      <c r="T422" t="s">
        <v>5767</v>
      </c>
      <c r="U422" t="s">
        <v>5768</v>
      </c>
      <c r="V422" t="s">
        <v>5769</v>
      </c>
      <c r="W422" t="s">
        <v>5770</v>
      </c>
      <c r="X422" t="s">
        <v>5771</v>
      </c>
      <c r="Y422" t="s">
        <v>5772</v>
      </c>
      <c r="Z422" t="s">
        <v>5773</v>
      </c>
      <c r="AA422" t="s">
        <v>5774</v>
      </c>
      <c r="AB422" t="s">
        <v>74</v>
      </c>
      <c r="AC422" t="s">
        <v>74</v>
      </c>
      <c r="AD422" t="s">
        <v>74</v>
      </c>
      <c r="AE422" t="s">
        <v>74</v>
      </c>
      <c r="AF422" t="s">
        <v>74</v>
      </c>
      <c r="AG422">
        <v>96</v>
      </c>
      <c r="AH422">
        <v>114</v>
      </c>
      <c r="AI422">
        <v>115</v>
      </c>
      <c r="AJ422">
        <v>1</v>
      </c>
      <c r="AK422">
        <v>30</v>
      </c>
      <c r="AL422" t="s">
        <v>1263</v>
      </c>
      <c r="AM422" t="s">
        <v>211</v>
      </c>
      <c r="AN422" t="s">
        <v>1264</v>
      </c>
      <c r="AO422" t="s">
        <v>2326</v>
      </c>
      <c r="AP422" t="s">
        <v>2327</v>
      </c>
      <c r="AQ422" t="s">
        <v>74</v>
      </c>
      <c r="AR422" t="s">
        <v>2328</v>
      </c>
      <c r="AS422" t="s">
        <v>2329</v>
      </c>
      <c r="AT422" t="s">
        <v>5141</v>
      </c>
      <c r="AU422">
        <v>1999</v>
      </c>
      <c r="AV422">
        <v>66</v>
      </c>
      <c r="AW422" t="s">
        <v>1614</v>
      </c>
      <c r="AX422" t="s">
        <v>74</v>
      </c>
      <c r="AY422" t="s">
        <v>74</v>
      </c>
      <c r="AZ422" t="s">
        <v>74</v>
      </c>
      <c r="BA422" t="s">
        <v>74</v>
      </c>
      <c r="BB422">
        <v>1</v>
      </c>
      <c r="BC422">
        <v>34</v>
      </c>
      <c r="BD422" t="s">
        <v>74</v>
      </c>
      <c r="BE422" t="s">
        <v>5775</v>
      </c>
      <c r="BF422" t="str">
        <f>HYPERLINK("http://dx.doi.org/10.1016/S0304-4203(99)00022-5","http://dx.doi.org/10.1016/S0304-4203(99)00022-5")</f>
        <v>http://dx.doi.org/10.1016/S0304-4203(99)00022-5</v>
      </c>
      <c r="BG422" t="s">
        <v>74</v>
      </c>
      <c r="BH422" t="s">
        <v>74</v>
      </c>
      <c r="BI422">
        <v>34</v>
      </c>
      <c r="BJ422" t="s">
        <v>2331</v>
      </c>
      <c r="BK422" t="s">
        <v>96</v>
      </c>
      <c r="BL422" t="s">
        <v>2332</v>
      </c>
      <c r="BM422" t="s">
        <v>5776</v>
      </c>
      <c r="BN422" t="s">
        <v>74</v>
      </c>
      <c r="BO422" t="s">
        <v>518</v>
      </c>
      <c r="BP422" t="s">
        <v>74</v>
      </c>
      <c r="BQ422" t="s">
        <v>74</v>
      </c>
      <c r="BR422" t="s">
        <v>99</v>
      </c>
      <c r="BS422" t="s">
        <v>5777</v>
      </c>
      <c r="BT422" t="str">
        <f>HYPERLINK("https%3A%2F%2Fwww.webofscience.com%2Fwos%2Fwoscc%2Ffull-record%2FWOS:000081318300001","View Full Record in Web of Science")</f>
        <v>View Full Record in Web of Science</v>
      </c>
    </row>
    <row r="423" spans="1:72" x14ac:dyDescent="0.15">
      <c r="A423" t="s">
        <v>72</v>
      </c>
      <c r="B423" t="s">
        <v>5778</v>
      </c>
      <c r="C423" t="s">
        <v>74</v>
      </c>
      <c r="D423" t="s">
        <v>74</v>
      </c>
      <c r="E423" t="s">
        <v>74</v>
      </c>
      <c r="F423" t="s">
        <v>5778</v>
      </c>
      <c r="G423" t="s">
        <v>74</v>
      </c>
      <c r="H423" t="s">
        <v>74</v>
      </c>
      <c r="I423" t="s">
        <v>5779</v>
      </c>
      <c r="J423" t="s">
        <v>5780</v>
      </c>
      <c r="K423" t="s">
        <v>74</v>
      </c>
      <c r="L423" t="s">
        <v>74</v>
      </c>
      <c r="M423" t="s">
        <v>77</v>
      </c>
      <c r="N423" t="s">
        <v>78</v>
      </c>
      <c r="O423" t="s">
        <v>74</v>
      </c>
      <c r="P423" t="s">
        <v>74</v>
      </c>
      <c r="Q423" t="s">
        <v>74</v>
      </c>
      <c r="R423" t="s">
        <v>74</v>
      </c>
      <c r="S423" t="s">
        <v>74</v>
      </c>
      <c r="T423" t="s">
        <v>5781</v>
      </c>
      <c r="U423" t="s">
        <v>5782</v>
      </c>
      <c r="V423" t="s">
        <v>5783</v>
      </c>
      <c r="W423" t="s">
        <v>5784</v>
      </c>
      <c r="X423" t="s">
        <v>5785</v>
      </c>
      <c r="Y423" t="s">
        <v>5786</v>
      </c>
      <c r="Z423" t="s">
        <v>74</v>
      </c>
      <c r="AA423" t="s">
        <v>74</v>
      </c>
      <c r="AB423" t="s">
        <v>74</v>
      </c>
      <c r="AC423" t="s">
        <v>74</v>
      </c>
      <c r="AD423" t="s">
        <v>74</v>
      </c>
      <c r="AE423" t="s">
        <v>74</v>
      </c>
      <c r="AF423" t="s">
        <v>74</v>
      </c>
      <c r="AG423">
        <v>15</v>
      </c>
      <c r="AH423">
        <v>22</v>
      </c>
      <c r="AI423">
        <v>27</v>
      </c>
      <c r="AJ423">
        <v>1</v>
      </c>
      <c r="AK423">
        <v>7</v>
      </c>
      <c r="AL423" t="s">
        <v>2205</v>
      </c>
      <c r="AM423" t="s">
        <v>2206</v>
      </c>
      <c r="AN423" t="s">
        <v>2207</v>
      </c>
      <c r="AO423" t="s">
        <v>5787</v>
      </c>
      <c r="AP423" t="s">
        <v>74</v>
      </c>
      <c r="AQ423" t="s">
        <v>74</v>
      </c>
      <c r="AR423" t="s">
        <v>5788</v>
      </c>
      <c r="AS423" t="s">
        <v>5789</v>
      </c>
      <c r="AT423" t="s">
        <v>5141</v>
      </c>
      <c r="AU423">
        <v>1999</v>
      </c>
      <c r="AV423">
        <v>20</v>
      </c>
      <c r="AW423">
        <v>1</v>
      </c>
      <c r="AX423" t="s">
        <v>74</v>
      </c>
      <c r="AY423" t="s">
        <v>74</v>
      </c>
      <c r="AZ423" t="s">
        <v>74</v>
      </c>
      <c r="BA423" t="s">
        <v>74</v>
      </c>
      <c r="BB423">
        <v>11</v>
      </c>
      <c r="BC423">
        <v>17</v>
      </c>
      <c r="BD423" t="s">
        <v>74</v>
      </c>
      <c r="BE423" t="s">
        <v>5790</v>
      </c>
      <c r="BF423" t="str">
        <f>HYPERLINK("http://dx.doi.org/10.1046/j.1439-0485.1999.00060.x","http://dx.doi.org/10.1046/j.1439-0485.1999.00060.x")</f>
        <v>http://dx.doi.org/10.1046/j.1439-0485.1999.00060.x</v>
      </c>
      <c r="BG423" t="s">
        <v>74</v>
      </c>
      <c r="BH423" t="s">
        <v>74</v>
      </c>
      <c r="BI423">
        <v>7</v>
      </c>
      <c r="BJ423" t="s">
        <v>1229</v>
      </c>
      <c r="BK423" t="s">
        <v>96</v>
      </c>
      <c r="BL423" t="s">
        <v>1229</v>
      </c>
      <c r="BM423" t="s">
        <v>5791</v>
      </c>
      <c r="BN423" t="s">
        <v>74</v>
      </c>
      <c r="BO423" t="s">
        <v>74</v>
      </c>
      <c r="BP423" t="s">
        <v>74</v>
      </c>
      <c r="BQ423" t="s">
        <v>74</v>
      </c>
      <c r="BR423" t="s">
        <v>99</v>
      </c>
      <c r="BS423" t="s">
        <v>5792</v>
      </c>
      <c r="BT423" t="str">
        <f>HYPERLINK("https%3A%2F%2Fwww.webofscience.com%2Fwos%2Fwoscc%2Ffull-record%2FWOS:000081494500002","View Full Record in Web of Science")</f>
        <v>View Full Record in Web of Science</v>
      </c>
    </row>
    <row r="424" spans="1:72" x14ac:dyDescent="0.15">
      <c r="A424" t="s">
        <v>72</v>
      </c>
      <c r="B424" t="s">
        <v>5793</v>
      </c>
      <c r="C424" t="s">
        <v>74</v>
      </c>
      <c r="D424" t="s">
        <v>74</v>
      </c>
      <c r="E424" t="s">
        <v>74</v>
      </c>
      <c r="F424" t="s">
        <v>5793</v>
      </c>
      <c r="G424" t="s">
        <v>74</v>
      </c>
      <c r="H424" t="s">
        <v>74</v>
      </c>
      <c r="I424" t="s">
        <v>5794</v>
      </c>
      <c r="J424" t="s">
        <v>5795</v>
      </c>
      <c r="K424" t="s">
        <v>74</v>
      </c>
      <c r="L424" t="s">
        <v>74</v>
      </c>
      <c r="M424" t="s">
        <v>77</v>
      </c>
      <c r="N424" t="s">
        <v>78</v>
      </c>
      <c r="O424" t="s">
        <v>74</v>
      </c>
      <c r="P424" t="s">
        <v>74</v>
      </c>
      <c r="Q424" t="s">
        <v>74</v>
      </c>
      <c r="R424" t="s">
        <v>74</v>
      </c>
      <c r="S424" t="s">
        <v>74</v>
      </c>
      <c r="T424" t="s">
        <v>5796</v>
      </c>
      <c r="U424" t="s">
        <v>5797</v>
      </c>
      <c r="V424" t="s">
        <v>5798</v>
      </c>
      <c r="W424" t="s">
        <v>5799</v>
      </c>
      <c r="X424" t="s">
        <v>5800</v>
      </c>
      <c r="Y424" t="s">
        <v>5801</v>
      </c>
      <c r="Z424" t="s">
        <v>74</v>
      </c>
      <c r="AA424" t="s">
        <v>5802</v>
      </c>
      <c r="AB424" t="s">
        <v>5803</v>
      </c>
      <c r="AC424" t="s">
        <v>74</v>
      </c>
      <c r="AD424" t="s">
        <v>74</v>
      </c>
      <c r="AE424" t="s">
        <v>74</v>
      </c>
      <c r="AF424" t="s">
        <v>74</v>
      </c>
      <c r="AG424">
        <v>31</v>
      </c>
      <c r="AH424">
        <v>49</v>
      </c>
      <c r="AI424">
        <v>52</v>
      </c>
      <c r="AJ424">
        <v>0</v>
      </c>
      <c r="AK424">
        <v>11</v>
      </c>
      <c r="AL424" t="s">
        <v>1427</v>
      </c>
      <c r="AM424" t="s">
        <v>276</v>
      </c>
      <c r="AN424" t="s">
        <v>1428</v>
      </c>
      <c r="AO424" t="s">
        <v>5804</v>
      </c>
      <c r="AP424" t="s">
        <v>74</v>
      </c>
      <c r="AQ424" t="s">
        <v>74</v>
      </c>
      <c r="AR424" t="s">
        <v>5805</v>
      </c>
      <c r="AS424" t="s">
        <v>5806</v>
      </c>
      <c r="AT424" t="s">
        <v>5141</v>
      </c>
      <c r="AU424">
        <v>1999</v>
      </c>
      <c r="AV424">
        <v>48</v>
      </c>
      <c r="AW424">
        <v>1</v>
      </c>
      <c r="AX424" t="s">
        <v>74</v>
      </c>
      <c r="AY424" t="s">
        <v>74</v>
      </c>
      <c r="AZ424" t="s">
        <v>74</v>
      </c>
      <c r="BA424" t="s">
        <v>74</v>
      </c>
      <c r="BB424">
        <v>23</v>
      </c>
      <c r="BC424">
        <v>36</v>
      </c>
      <c r="BD424" t="s">
        <v>74</v>
      </c>
      <c r="BE424" t="s">
        <v>5807</v>
      </c>
      <c r="BF424" t="str">
        <f>HYPERLINK("http://dx.doi.org/10.1016/S0141-1136(99)00030-6","http://dx.doi.org/10.1016/S0141-1136(99)00030-6")</f>
        <v>http://dx.doi.org/10.1016/S0141-1136(99)00030-6</v>
      </c>
      <c r="BG424" t="s">
        <v>74</v>
      </c>
      <c r="BH424" t="s">
        <v>74</v>
      </c>
      <c r="BI424">
        <v>14</v>
      </c>
      <c r="BJ424" t="s">
        <v>5808</v>
      </c>
      <c r="BK424" t="s">
        <v>96</v>
      </c>
      <c r="BL424" t="s">
        <v>5809</v>
      </c>
      <c r="BM424" t="s">
        <v>5810</v>
      </c>
      <c r="BN424" t="s">
        <v>74</v>
      </c>
      <c r="BO424" t="s">
        <v>74</v>
      </c>
      <c r="BP424" t="s">
        <v>74</v>
      </c>
      <c r="BQ424" t="s">
        <v>74</v>
      </c>
      <c r="BR424" t="s">
        <v>99</v>
      </c>
      <c r="BS424" t="s">
        <v>5811</v>
      </c>
      <c r="BT424" t="str">
        <f>HYPERLINK("https%3A%2F%2Fwww.webofscience.com%2Fwos%2Fwoscc%2Ffull-record%2FWOS:000080018200002","View Full Record in Web of Science")</f>
        <v>View Full Record in Web of Science</v>
      </c>
    </row>
    <row r="425" spans="1:72" x14ac:dyDescent="0.15">
      <c r="A425" t="s">
        <v>72</v>
      </c>
      <c r="B425" t="s">
        <v>5812</v>
      </c>
      <c r="C425" t="s">
        <v>74</v>
      </c>
      <c r="D425" t="s">
        <v>74</v>
      </c>
      <c r="E425" t="s">
        <v>74</v>
      </c>
      <c r="F425" t="s">
        <v>5812</v>
      </c>
      <c r="G425" t="s">
        <v>74</v>
      </c>
      <c r="H425" t="s">
        <v>74</v>
      </c>
      <c r="I425" t="s">
        <v>5813</v>
      </c>
      <c r="J425" t="s">
        <v>2338</v>
      </c>
      <c r="K425" t="s">
        <v>74</v>
      </c>
      <c r="L425" t="s">
        <v>74</v>
      </c>
      <c r="M425" t="s">
        <v>77</v>
      </c>
      <c r="N425" t="s">
        <v>78</v>
      </c>
      <c r="O425" t="s">
        <v>74</v>
      </c>
      <c r="P425" t="s">
        <v>74</v>
      </c>
      <c r="Q425" t="s">
        <v>74</v>
      </c>
      <c r="R425" t="s">
        <v>74</v>
      </c>
      <c r="S425" t="s">
        <v>74</v>
      </c>
      <c r="T425" t="s">
        <v>5814</v>
      </c>
      <c r="U425" t="s">
        <v>5815</v>
      </c>
      <c r="V425" t="s">
        <v>5816</v>
      </c>
      <c r="W425" t="s">
        <v>5817</v>
      </c>
      <c r="X425" t="s">
        <v>1222</v>
      </c>
      <c r="Y425" t="s">
        <v>5818</v>
      </c>
      <c r="Z425" t="s">
        <v>5819</v>
      </c>
      <c r="AA425" t="s">
        <v>5820</v>
      </c>
      <c r="AB425" t="s">
        <v>5821</v>
      </c>
      <c r="AC425" t="s">
        <v>74</v>
      </c>
      <c r="AD425" t="s">
        <v>74</v>
      </c>
      <c r="AE425" t="s">
        <v>74</v>
      </c>
      <c r="AF425" t="s">
        <v>74</v>
      </c>
      <c r="AG425">
        <v>29</v>
      </c>
      <c r="AH425">
        <v>37</v>
      </c>
      <c r="AI425">
        <v>37</v>
      </c>
      <c r="AJ425">
        <v>0</v>
      </c>
      <c r="AK425">
        <v>6</v>
      </c>
      <c r="AL425" t="s">
        <v>210</v>
      </c>
      <c r="AM425" t="s">
        <v>211</v>
      </c>
      <c r="AN425" t="s">
        <v>212</v>
      </c>
      <c r="AO425" t="s">
        <v>2349</v>
      </c>
      <c r="AP425" t="s">
        <v>74</v>
      </c>
      <c r="AQ425" t="s">
        <v>74</v>
      </c>
      <c r="AR425" t="s">
        <v>2351</v>
      </c>
      <c r="AS425" t="s">
        <v>2352</v>
      </c>
      <c r="AT425" t="s">
        <v>5141</v>
      </c>
      <c r="AU425">
        <v>1999</v>
      </c>
      <c r="AV425">
        <v>159</v>
      </c>
      <c r="AW425" t="s">
        <v>2149</v>
      </c>
      <c r="AX425" t="s">
        <v>74</v>
      </c>
      <c r="AY425" t="s">
        <v>74</v>
      </c>
      <c r="AZ425" t="s">
        <v>74</v>
      </c>
      <c r="BA425" t="s">
        <v>74</v>
      </c>
      <c r="BB425">
        <v>63</v>
      </c>
      <c r="BC425">
        <v>78</v>
      </c>
      <c r="BD425" t="s">
        <v>74</v>
      </c>
      <c r="BE425" t="s">
        <v>5822</v>
      </c>
      <c r="BF425" t="str">
        <f>HYPERLINK("http://dx.doi.org/10.1016/S0025-3227(98)00199-6","http://dx.doi.org/10.1016/S0025-3227(98)00199-6")</f>
        <v>http://dx.doi.org/10.1016/S0025-3227(98)00199-6</v>
      </c>
      <c r="BG425" t="s">
        <v>74</v>
      </c>
      <c r="BH425" t="s">
        <v>74</v>
      </c>
      <c r="BI425">
        <v>16</v>
      </c>
      <c r="BJ425" t="s">
        <v>2355</v>
      </c>
      <c r="BK425" t="s">
        <v>96</v>
      </c>
      <c r="BL425" t="s">
        <v>2356</v>
      </c>
      <c r="BM425" t="s">
        <v>5823</v>
      </c>
      <c r="BN425" t="s">
        <v>74</v>
      </c>
      <c r="BO425" t="s">
        <v>74</v>
      </c>
      <c r="BP425" t="s">
        <v>74</v>
      </c>
      <c r="BQ425" t="s">
        <v>74</v>
      </c>
      <c r="BR425" t="s">
        <v>99</v>
      </c>
      <c r="BS425" t="s">
        <v>5824</v>
      </c>
      <c r="BT425" t="str">
        <f>HYPERLINK("https%3A%2F%2Fwww.webofscience.com%2Fwos%2Fwoscc%2Ffull-record%2FWOS:000081247800004","View Full Record in Web of Science")</f>
        <v>View Full Record in Web of Science</v>
      </c>
    </row>
    <row r="426" spans="1:72" x14ac:dyDescent="0.15">
      <c r="A426" t="s">
        <v>72</v>
      </c>
      <c r="B426" t="s">
        <v>5825</v>
      </c>
      <c r="C426" t="s">
        <v>74</v>
      </c>
      <c r="D426" t="s">
        <v>74</v>
      </c>
      <c r="E426" t="s">
        <v>74</v>
      </c>
      <c r="F426" t="s">
        <v>5825</v>
      </c>
      <c r="G426" t="s">
        <v>74</v>
      </c>
      <c r="H426" t="s">
        <v>74</v>
      </c>
      <c r="I426" t="s">
        <v>5826</v>
      </c>
      <c r="J426" t="s">
        <v>2338</v>
      </c>
      <c r="K426" t="s">
        <v>74</v>
      </c>
      <c r="L426" t="s">
        <v>74</v>
      </c>
      <c r="M426" t="s">
        <v>77</v>
      </c>
      <c r="N426" t="s">
        <v>78</v>
      </c>
      <c r="O426" t="s">
        <v>74</v>
      </c>
      <c r="P426" t="s">
        <v>74</v>
      </c>
      <c r="Q426" t="s">
        <v>74</v>
      </c>
      <c r="R426" t="s">
        <v>74</v>
      </c>
      <c r="S426" t="s">
        <v>74</v>
      </c>
      <c r="T426" t="s">
        <v>5827</v>
      </c>
      <c r="U426" t="s">
        <v>5828</v>
      </c>
      <c r="V426" t="s">
        <v>5829</v>
      </c>
      <c r="W426" t="s">
        <v>5830</v>
      </c>
      <c r="X426" t="s">
        <v>5831</v>
      </c>
      <c r="Y426" t="s">
        <v>5832</v>
      </c>
      <c r="Z426" t="s">
        <v>74</v>
      </c>
      <c r="AA426" t="s">
        <v>5833</v>
      </c>
      <c r="AB426" t="s">
        <v>5834</v>
      </c>
      <c r="AC426" t="s">
        <v>74</v>
      </c>
      <c r="AD426" t="s">
        <v>74</v>
      </c>
      <c r="AE426" t="s">
        <v>74</v>
      </c>
      <c r="AF426" t="s">
        <v>74</v>
      </c>
      <c r="AG426">
        <v>55</v>
      </c>
      <c r="AH426">
        <v>43</v>
      </c>
      <c r="AI426">
        <v>44</v>
      </c>
      <c r="AJ426">
        <v>0</v>
      </c>
      <c r="AK426">
        <v>9</v>
      </c>
      <c r="AL426" t="s">
        <v>210</v>
      </c>
      <c r="AM426" t="s">
        <v>211</v>
      </c>
      <c r="AN426" t="s">
        <v>212</v>
      </c>
      <c r="AO426" t="s">
        <v>2349</v>
      </c>
      <c r="AP426" t="s">
        <v>74</v>
      </c>
      <c r="AQ426" t="s">
        <v>74</v>
      </c>
      <c r="AR426" t="s">
        <v>2351</v>
      </c>
      <c r="AS426" t="s">
        <v>2352</v>
      </c>
      <c r="AT426" t="s">
        <v>5141</v>
      </c>
      <c r="AU426">
        <v>1999</v>
      </c>
      <c r="AV426">
        <v>159</v>
      </c>
      <c r="AW426" t="s">
        <v>2149</v>
      </c>
      <c r="AX426" t="s">
        <v>74</v>
      </c>
      <c r="AY426" t="s">
        <v>74</v>
      </c>
      <c r="AZ426" t="s">
        <v>74</v>
      </c>
      <c r="BA426" t="s">
        <v>74</v>
      </c>
      <c r="BB426">
        <v>221</v>
      </c>
      <c r="BC426">
        <v>239</v>
      </c>
      <c r="BD426" t="s">
        <v>74</v>
      </c>
      <c r="BE426" t="s">
        <v>5835</v>
      </c>
      <c r="BF426" t="str">
        <f>HYPERLINK("http://dx.doi.org/10.1016/S0025-3227(98)00205-9","http://dx.doi.org/10.1016/S0025-3227(98)00205-9")</f>
        <v>http://dx.doi.org/10.1016/S0025-3227(98)00205-9</v>
      </c>
      <c r="BG426" t="s">
        <v>74</v>
      </c>
      <c r="BH426" t="s">
        <v>74</v>
      </c>
      <c r="BI426">
        <v>19</v>
      </c>
      <c r="BJ426" t="s">
        <v>2355</v>
      </c>
      <c r="BK426" t="s">
        <v>96</v>
      </c>
      <c r="BL426" t="s">
        <v>2356</v>
      </c>
      <c r="BM426" t="s">
        <v>5823</v>
      </c>
      <c r="BN426" t="s">
        <v>74</v>
      </c>
      <c r="BO426" t="s">
        <v>74</v>
      </c>
      <c r="BP426" t="s">
        <v>74</v>
      </c>
      <c r="BQ426" t="s">
        <v>74</v>
      </c>
      <c r="BR426" t="s">
        <v>99</v>
      </c>
      <c r="BS426" t="s">
        <v>5836</v>
      </c>
      <c r="BT426" t="str">
        <f>HYPERLINK("https%3A%2F%2Fwww.webofscience.com%2Fwos%2Fwoscc%2Ffull-record%2FWOS:000081247800012","View Full Record in Web of Science")</f>
        <v>View Full Record in Web of Science</v>
      </c>
    </row>
    <row r="427" spans="1:72" x14ac:dyDescent="0.15">
      <c r="A427" t="s">
        <v>72</v>
      </c>
      <c r="B427" t="s">
        <v>5837</v>
      </c>
      <c r="C427" t="s">
        <v>74</v>
      </c>
      <c r="D427" t="s">
        <v>74</v>
      </c>
      <c r="E427" t="s">
        <v>74</v>
      </c>
      <c r="F427" t="s">
        <v>5837</v>
      </c>
      <c r="G427" t="s">
        <v>74</v>
      </c>
      <c r="H427" t="s">
        <v>74</v>
      </c>
      <c r="I427" t="s">
        <v>5838</v>
      </c>
      <c r="J427" t="s">
        <v>2382</v>
      </c>
      <c r="K427" t="s">
        <v>74</v>
      </c>
      <c r="L427" t="s">
        <v>74</v>
      </c>
      <c r="M427" t="s">
        <v>77</v>
      </c>
      <c r="N427" t="s">
        <v>78</v>
      </c>
      <c r="O427" t="s">
        <v>74</v>
      </c>
      <c r="P427" t="s">
        <v>74</v>
      </c>
      <c r="Q427" t="s">
        <v>74</v>
      </c>
      <c r="R427" t="s">
        <v>74</v>
      </c>
      <c r="S427" t="s">
        <v>74</v>
      </c>
      <c r="T427" t="s">
        <v>5839</v>
      </c>
      <c r="U427" t="s">
        <v>5840</v>
      </c>
      <c r="V427" t="s">
        <v>5841</v>
      </c>
      <c r="W427" t="s">
        <v>5842</v>
      </c>
      <c r="X427" t="s">
        <v>5843</v>
      </c>
      <c r="Y427" t="s">
        <v>5844</v>
      </c>
      <c r="Z427" t="s">
        <v>74</v>
      </c>
      <c r="AA427" t="s">
        <v>74</v>
      </c>
      <c r="AB427" t="s">
        <v>5845</v>
      </c>
      <c r="AC427" t="s">
        <v>74</v>
      </c>
      <c r="AD427" t="s">
        <v>74</v>
      </c>
      <c r="AE427" t="s">
        <v>74</v>
      </c>
      <c r="AF427" t="s">
        <v>74</v>
      </c>
      <c r="AG427">
        <v>33</v>
      </c>
      <c r="AH427">
        <v>31</v>
      </c>
      <c r="AI427">
        <v>38</v>
      </c>
      <c r="AJ427">
        <v>1</v>
      </c>
      <c r="AK427">
        <v>13</v>
      </c>
      <c r="AL427" t="s">
        <v>2391</v>
      </c>
      <c r="AM427" t="s">
        <v>2392</v>
      </c>
      <c r="AN427" t="s">
        <v>2393</v>
      </c>
      <c r="AO427" t="s">
        <v>2394</v>
      </c>
      <c r="AP427" t="s">
        <v>74</v>
      </c>
      <c r="AQ427" t="s">
        <v>74</v>
      </c>
      <c r="AR427" t="s">
        <v>2395</v>
      </c>
      <c r="AS427" t="s">
        <v>2396</v>
      </c>
      <c r="AT427" t="s">
        <v>5141</v>
      </c>
      <c r="AU427">
        <v>1999</v>
      </c>
      <c r="AV427">
        <v>15</v>
      </c>
      <c r="AW427">
        <v>3</v>
      </c>
      <c r="AX427" t="s">
        <v>74</v>
      </c>
      <c r="AY427" t="s">
        <v>74</v>
      </c>
      <c r="AZ427" t="s">
        <v>74</v>
      </c>
      <c r="BA427" t="s">
        <v>74</v>
      </c>
      <c r="BB427">
        <v>712</v>
      </c>
      <c r="BC427">
        <v>724</v>
      </c>
      <c r="BD427" t="s">
        <v>74</v>
      </c>
      <c r="BE427" t="s">
        <v>5846</v>
      </c>
      <c r="BF427" t="str">
        <f>HYPERLINK("http://dx.doi.org/10.1111/j.1748-7692.1999.tb00838.x","http://dx.doi.org/10.1111/j.1748-7692.1999.tb00838.x")</f>
        <v>http://dx.doi.org/10.1111/j.1748-7692.1999.tb00838.x</v>
      </c>
      <c r="BG427" t="s">
        <v>74</v>
      </c>
      <c r="BH427" t="s">
        <v>74</v>
      </c>
      <c r="BI427">
        <v>13</v>
      </c>
      <c r="BJ427" t="s">
        <v>2398</v>
      </c>
      <c r="BK427" t="s">
        <v>96</v>
      </c>
      <c r="BL427" t="s">
        <v>2398</v>
      </c>
      <c r="BM427" t="s">
        <v>5847</v>
      </c>
      <c r="BN427" t="s">
        <v>74</v>
      </c>
      <c r="BO427" t="s">
        <v>74</v>
      </c>
      <c r="BP427" t="s">
        <v>74</v>
      </c>
      <c r="BQ427" t="s">
        <v>74</v>
      </c>
      <c r="BR427" t="s">
        <v>99</v>
      </c>
      <c r="BS427" t="s">
        <v>5848</v>
      </c>
      <c r="BT427" t="str">
        <f>HYPERLINK("https%3A%2F%2Fwww.webofscience.com%2Fwos%2Fwoscc%2Ffull-record%2FWOS:000080863700006","View Full Record in Web of Science")</f>
        <v>View Full Record in Web of Science</v>
      </c>
    </row>
    <row r="428" spans="1:72" x14ac:dyDescent="0.15">
      <c r="A428" t="s">
        <v>72</v>
      </c>
      <c r="B428" t="s">
        <v>5849</v>
      </c>
      <c r="C428" t="s">
        <v>74</v>
      </c>
      <c r="D428" t="s">
        <v>74</v>
      </c>
      <c r="E428" t="s">
        <v>74</v>
      </c>
      <c r="F428" t="s">
        <v>5849</v>
      </c>
      <c r="G428" t="s">
        <v>74</v>
      </c>
      <c r="H428" t="s">
        <v>74</v>
      </c>
      <c r="I428" t="s">
        <v>5850</v>
      </c>
      <c r="J428" t="s">
        <v>2382</v>
      </c>
      <c r="K428" t="s">
        <v>74</v>
      </c>
      <c r="L428" t="s">
        <v>74</v>
      </c>
      <c r="M428" t="s">
        <v>77</v>
      </c>
      <c r="N428" t="s">
        <v>78</v>
      </c>
      <c r="O428" t="s">
        <v>74</v>
      </c>
      <c r="P428" t="s">
        <v>74</v>
      </c>
      <c r="Q428" t="s">
        <v>74</v>
      </c>
      <c r="R428" t="s">
        <v>74</v>
      </c>
      <c r="S428" t="s">
        <v>74</v>
      </c>
      <c r="T428" t="s">
        <v>74</v>
      </c>
      <c r="U428" t="s">
        <v>5851</v>
      </c>
      <c r="V428" t="s">
        <v>74</v>
      </c>
      <c r="W428" t="s">
        <v>5852</v>
      </c>
      <c r="X428" t="s">
        <v>131</v>
      </c>
      <c r="Y428" t="s">
        <v>5759</v>
      </c>
      <c r="Z428" t="s">
        <v>5853</v>
      </c>
      <c r="AA428" t="s">
        <v>74</v>
      </c>
      <c r="AB428" t="s">
        <v>5854</v>
      </c>
      <c r="AC428" t="s">
        <v>74</v>
      </c>
      <c r="AD428" t="s">
        <v>74</v>
      </c>
      <c r="AE428" t="s">
        <v>74</v>
      </c>
      <c r="AF428" t="s">
        <v>74</v>
      </c>
      <c r="AG428">
        <v>17</v>
      </c>
      <c r="AH428">
        <v>1</v>
      </c>
      <c r="AI428">
        <v>1</v>
      </c>
      <c r="AJ428">
        <v>0</v>
      </c>
      <c r="AK428">
        <v>7</v>
      </c>
      <c r="AL428" t="s">
        <v>997</v>
      </c>
      <c r="AM428" t="s">
        <v>998</v>
      </c>
      <c r="AN428" t="s">
        <v>999</v>
      </c>
      <c r="AO428" t="s">
        <v>2394</v>
      </c>
      <c r="AP428" t="s">
        <v>5855</v>
      </c>
      <c r="AQ428" t="s">
        <v>74</v>
      </c>
      <c r="AR428" t="s">
        <v>2395</v>
      </c>
      <c r="AS428" t="s">
        <v>2396</v>
      </c>
      <c r="AT428" t="s">
        <v>5141</v>
      </c>
      <c r="AU428">
        <v>1999</v>
      </c>
      <c r="AV428">
        <v>15</v>
      </c>
      <c r="AW428">
        <v>3</v>
      </c>
      <c r="AX428" t="s">
        <v>74</v>
      </c>
      <c r="AY428" t="s">
        <v>74</v>
      </c>
      <c r="AZ428" t="s">
        <v>74</v>
      </c>
      <c r="BA428" t="s">
        <v>74</v>
      </c>
      <c r="BB428">
        <v>882</v>
      </c>
      <c r="BC428">
        <v>885</v>
      </c>
      <c r="BD428" t="s">
        <v>74</v>
      </c>
      <c r="BE428" t="s">
        <v>5856</v>
      </c>
      <c r="BF428" t="str">
        <f>HYPERLINK("http://dx.doi.org/10.1111/j.1748-7692.1999.tb00853.x","http://dx.doi.org/10.1111/j.1748-7692.1999.tb00853.x")</f>
        <v>http://dx.doi.org/10.1111/j.1748-7692.1999.tb00853.x</v>
      </c>
      <c r="BG428" t="s">
        <v>74</v>
      </c>
      <c r="BH428" t="s">
        <v>74</v>
      </c>
      <c r="BI428">
        <v>4</v>
      </c>
      <c r="BJ428" t="s">
        <v>2398</v>
      </c>
      <c r="BK428" t="s">
        <v>96</v>
      </c>
      <c r="BL428" t="s">
        <v>2398</v>
      </c>
      <c r="BM428" t="s">
        <v>5847</v>
      </c>
      <c r="BN428" t="s">
        <v>74</v>
      </c>
      <c r="BO428" t="s">
        <v>74</v>
      </c>
      <c r="BP428" t="s">
        <v>74</v>
      </c>
      <c r="BQ428" t="s">
        <v>74</v>
      </c>
      <c r="BR428" t="s">
        <v>99</v>
      </c>
      <c r="BS428" t="s">
        <v>5857</v>
      </c>
      <c r="BT428" t="str">
        <f>HYPERLINK("https%3A%2F%2Fwww.webofscience.com%2Fwos%2Fwoscc%2Ffull-record%2FWOS:000080863700021","View Full Record in Web of Science")</f>
        <v>View Full Record in Web of Science</v>
      </c>
    </row>
    <row r="429" spans="1:72" x14ac:dyDescent="0.15">
      <c r="A429" t="s">
        <v>72</v>
      </c>
      <c r="B429" t="s">
        <v>5858</v>
      </c>
      <c r="C429" t="s">
        <v>74</v>
      </c>
      <c r="D429" t="s">
        <v>74</v>
      </c>
      <c r="E429" t="s">
        <v>74</v>
      </c>
      <c r="F429" t="s">
        <v>5858</v>
      </c>
      <c r="G429" t="s">
        <v>74</v>
      </c>
      <c r="H429" t="s">
        <v>74</v>
      </c>
      <c r="I429" t="s">
        <v>5859</v>
      </c>
      <c r="J429" t="s">
        <v>5860</v>
      </c>
      <c r="K429" t="s">
        <v>74</v>
      </c>
      <c r="L429" t="s">
        <v>74</v>
      </c>
      <c r="M429" t="s">
        <v>77</v>
      </c>
      <c r="N429" t="s">
        <v>52</v>
      </c>
      <c r="O429" t="s">
        <v>74</v>
      </c>
      <c r="P429" t="s">
        <v>74</v>
      </c>
      <c r="Q429" t="s">
        <v>74</v>
      </c>
      <c r="R429" t="s">
        <v>74</v>
      </c>
      <c r="S429" t="s">
        <v>74</v>
      </c>
      <c r="T429" t="s">
        <v>74</v>
      </c>
      <c r="U429" t="s">
        <v>74</v>
      </c>
      <c r="V429" t="s">
        <v>74</v>
      </c>
      <c r="W429" t="s">
        <v>5861</v>
      </c>
      <c r="X429" t="s">
        <v>1557</v>
      </c>
      <c r="Y429" t="s">
        <v>74</v>
      </c>
      <c r="Z429" t="s">
        <v>74</v>
      </c>
      <c r="AA429" t="s">
        <v>74</v>
      </c>
      <c r="AB429" t="s">
        <v>74</v>
      </c>
      <c r="AC429" t="s">
        <v>74</v>
      </c>
      <c r="AD429" t="s">
        <v>74</v>
      </c>
      <c r="AE429" t="s">
        <v>74</v>
      </c>
      <c r="AF429" t="s">
        <v>74</v>
      </c>
      <c r="AG429">
        <v>3</v>
      </c>
      <c r="AH429">
        <v>1</v>
      </c>
      <c r="AI429">
        <v>1</v>
      </c>
      <c r="AJ429">
        <v>0</v>
      </c>
      <c r="AK429">
        <v>0</v>
      </c>
      <c r="AL429" t="s">
        <v>5862</v>
      </c>
      <c r="AM429" t="s">
        <v>5863</v>
      </c>
      <c r="AN429" t="s">
        <v>5864</v>
      </c>
      <c r="AO429" t="s">
        <v>5865</v>
      </c>
      <c r="AP429" t="s">
        <v>74</v>
      </c>
      <c r="AQ429" t="s">
        <v>74</v>
      </c>
      <c r="AR429" t="s">
        <v>5866</v>
      </c>
      <c r="AS429" t="s">
        <v>5867</v>
      </c>
      <c r="AT429" t="s">
        <v>5141</v>
      </c>
      <c r="AU429">
        <v>1999</v>
      </c>
      <c r="AV429">
        <v>34</v>
      </c>
      <c r="AW429" t="s">
        <v>74</v>
      </c>
      <c r="AX429" t="s">
        <v>74</v>
      </c>
      <c r="AY429" t="s">
        <v>1295</v>
      </c>
      <c r="AZ429" t="s">
        <v>74</v>
      </c>
      <c r="BA429" t="s">
        <v>74</v>
      </c>
      <c r="BB429" t="s">
        <v>5868</v>
      </c>
      <c r="BC429" t="s">
        <v>5869</v>
      </c>
      <c r="BD429" t="s">
        <v>74</v>
      </c>
      <c r="BE429" t="s">
        <v>74</v>
      </c>
      <c r="BF429" t="s">
        <v>74</v>
      </c>
      <c r="BG429" t="s">
        <v>74</v>
      </c>
      <c r="BH429" t="s">
        <v>74</v>
      </c>
      <c r="BI429">
        <v>2</v>
      </c>
      <c r="BJ429" t="s">
        <v>216</v>
      </c>
      <c r="BK429" t="s">
        <v>96</v>
      </c>
      <c r="BL429" t="s">
        <v>216</v>
      </c>
      <c r="BM429" t="s">
        <v>5870</v>
      </c>
      <c r="BN429" t="s">
        <v>74</v>
      </c>
      <c r="BO429" t="s">
        <v>74</v>
      </c>
      <c r="BP429" t="s">
        <v>74</v>
      </c>
      <c r="BQ429" t="s">
        <v>74</v>
      </c>
      <c r="BR429" t="s">
        <v>99</v>
      </c>
      <c r="BS429" t="s">
        <v>5871</v>
      </c>
      <c r="BT429" t="str">
        <f>HYPERLINK("https%3A%2F%2Fwww.webofscience.com%2Fwos%2Fwoscc%2Ffull-record%2FWOS:000081826400069","View Full Record in Web of Science")</f>
        <v>View Full Record in Web of Science</v>
      </c>
    </row>
    <row r="430" spans="1:72" x14ac:dyDescent="0.15">
      <c r="A430" t="s">
        <v>72</v>
      </c>
      <c r="B430" t="s">
        <v>5872</v>
      </c>
      <c r="C430" t="s">
        <v>74</v>
      </c>
      <c r="D430" t="s">
        <v>74</v>
      </c>
      <c r="E430" t="s">
        <v>74</v>
      </c>
      <c r="F430" t="s">
        <v>5872</v>
      </c>
      <c r="G430" t="s">
        <v>74</v>
      </c>
      <c r="H430" t="s">
        <v>74</v>
      </c>
      <c r="I430" t="s">
        <v>5873</v>
      </c>
      <c r="J430" t="s">
        <v>5860</v>
      </c>
      <c r="K430" t="s">
        <v>74</v>
      </c>
      <c r="L430" t="s">
        <v>74</v>
      </c>
      <c r="M430" t="s">
        <v>77</v>
      </c>
      <c r="N430" t="s">
        <v>52</v>
      </c>
      <c r="O430" t="s">
        <v>74</v>
      </c>
      <c r="P430" t="s">
        <v>74</v>
      </c>
      <c r="Q430" t="s">
        <v>74</v>
      </c>
      <c r="R430" t="s">
        <v>74</v>
      </c>
      <c r="S430" t="s">
        <v>74</v>
      </c>
      <c r="T430" t="s">
        <v>74</v>
      </c>
      <c r="U430" t="s">
        <v>74</v>
      </c>
      <c r="V430" t="s">
        <v>74</v>
      </c>
      <c r="W430" t="s">
        <v>5874</v>
      </c>
      <c r="X430" t="s">
        <v>5875</v>
      </c>
      <c r="Y430" t="s">
        <v>74</v>
      </c>
      <c r="Z430" t="s">
        <v>74</v>
      </c>
      <c r="AA430" t="s">
        <v>74</v>
      </c>
      <c r="AB430" t="s">
        <v>74</v>
      </c>
      <c r="AC430" t="s">
        <v>74</v>
      </c>
      <c r="AD430" t="s">
        <v>74</v>
      </c>
      <c r="AE430" t="s">
        <v>74</v>
      </c>
      <c r="AF430" t="s">
        <v>74</v>
      </c>
      <c r="AG430">
        <v>2</v>
      </c>
      <c r="AH430">
        <v>4</v>
      </c>
      <c r="AI430">
        <v>5</v>
      </c>
      <c r="AJ430">
        <v>0</v>
      </c>
      <c r="AK430">
        <v>1</v>
      </c>
      <c r="AL430" t="s">
        <v>5862</v>
      </c>
      <c r="AM430" t="s">
        <v>5863</v>
      </c>
      <c r="AN430" t="s">
        <v>5864</v>
      </c>
      <c r="AO430" t="s">
        <v>5865</v>
      </c>
      <c r="AP430" t="s">
        <v>74</v>
      </c>
      <c r="AQ430" t="s">
        <v>74</v>
      </c>
      <c r="AR430" t="s">
        <v>5866</v>
      </c>
      <c r="AS430" t="s">
        <v>5867</v>
      </c>
      <c r="AT430" t="s">
        <v>5141</v>
      </c>
      <c r="AU430">
        <v>1999</v>
      </c>
      <c r="AV430">
        <v>34</v>
      </c>
      <c r="AW430" t="s">
        <v>74</v>
      </c>
      <c r="AX430" t="s">
        <v>74</v>
      </c>
      <c r="AY430" t="s">
        <v>1295</v>
      </c>
      <c r="AZ430" t="s">
        <v>74</v>
      </c>
      <c r="BA430" t="s">
        <v>74</v>
      </c>
      <c r="BB430" t="s">
        <v>5876</v>
      </c>
      <c r="BC430" t="s">
        <v>5876</v>
      </c>
      <c r="BD430" t="s">
        <v>74</v>
      </c>
      <c r="BE430" t="s">
        <v>74</v>
      </c>
      <c r="BF430" t="s">
        <v>74</v>
      </c>
      <c r="BG430" t="s">
        <v>74</v>
      </c>
      <c r="BH430" t="s">
        <v>74</v>
      </c>
      <c r="BI430">
        <v>1</v>
      </c>
      <c r="BJ430" t="s">
        <v>216</v>
      </c>
      <c r="BK430" t="s">
        <v>96</v>
      </c>
      <c r="BL430" t="s">
        <v>216</v>
      </c>
      <c r="BM430" t="s">
        <v>5870</v>
      </c>
      <c r="BN430" t="s">
        <v>74</v>
      </c>
      <c r="BO430" t="s">
        <v>74</v>
      </c>
      <c r="BP430" t="s">
        <v>74</v>
      </c>
      <c r="BQ430" t="s">
        <v>74</v>
      </c>
      <c r="BR430" t="s">
        <v>99</v>
      </c>
      <c r="BS430" t="s">
        <v>5877</v>
      </c>
      <c r="BT430" t="str">
        <f>HYPERLINK("https%3A%2F%2Fwww.webofscience.com%2Fwos%2Fwoscc%2Ffull-record%2FWOS:000081826400084","View Full Record in Web of Science")</f>
        <v>View Full Record in Web of Science</v>
      </c>
    </row>
    <row r="431" spans="1:72" x14ac:dyDescent="0.15">
      <c r="A431" t="s">
        <v>72</v>
      </c>
      <c r="B431" t="s">
        <v>5878</v>
      </c>
      <c r="C431" t="s">
        <v>74</v>
      </c>
      <c r="D431" t="s">
        <v>74</v>
      </c>
      <c r="E431" t="s">
        <v>74</v>
      </c>
      <c r="F431" t="s">
        <v>5878</v>
      </c>
      <c r="G431" t="s">
        <v>74</v>
      </c>
      <c r="H431" t="s">
        <v>74</v>
      </c>
      <c r="I431" t="s">
        <v>5879</v>
      </c>
      <c r="J431" t="s">
        <v>5860</v>
      </c>
      <c r="K431" t="s">
        <v>74</v>
      </c>
      <c r="L431" t="s">
        <v>74</v>
      </c>
      <c r="M431" t="s">
        <v>77</v>
      </c>
      <c r="N431" t="s">
        <v>52</v>
      </c>
      <c r="O431" t="s">
        <v>74</v>
      </c>
      <c r="P431" t="s">
        <v>74</v>
      </c>
      <c r="Q431" t="s">
        <v>74</v>
      </c>
      <c r="R431" t="s">
        <v>74</v>
      </c>
      <c r="S431" t="s">
        <v>74</v>
      </c>
      <c r="T431" t="s">
        <v>74</v>
      </c>
      <c r="U431" t="s">
        <v>3380</v>
      </c>
      <c r="V431" t="s">
        <v>74</v>
      </c>
      <c r="W431" t="s">
        <v>5880</v>
      </c>
      <c r="X431" t="s">
        <v>5881</v>
      </c>
      <c r="Y431" t="s">
        <v>74</v>
      </c>
      <c r="Z431" t="s">
        <v>74</v>
      </c>
      <c r="AA431" t="s">
        <v>74</v>
      </c>
      <c r="AB431" t="s">
        <v>74</v>
      </c>
      <c r="AC431" t="s">
        <v>74</v>
      </c>
      <c r="AD431" t="s">
        <v>74</v>
      </c>
      <c r="AE431" t="s">
        <v>74</v>
      </c>
      <c r="AF431" t="s">
        <v>74</v>
      </c>
      <c r="AG431">
        <v>5</v>
      </c>
      <c r="AH431">
        <v>1</v>
      </c>
      <c r="AI431">
        <v>1</v>
      </c>
      <c r="AJ431">
        <v>0</v>
      </c>
      <c r="AK431">
        <v>1</v>
      </c>
      <c r="AL431" t="s">
        <v>5862</v>
      </c>
      <c r="AM431" t="s">
        <v>5863</v>
      </c>
      <c r="AN431" t="s">
        <v>5864</v>
      </c>
      <c r="AO431" t="s">
        <v>5865</v>
      </c>
      <c r="AP431" t="s">
        <v>74</v>
      </c>
      <c r="AQ431" t="s">
        <v>74</v>
      </c>
      <c r="AR431" t="s">
        <v>5866</v>
      </c>
      <c r="AS431" t="s">
        <v>5867</v>
      </c>
      <c r="AT431" t="s">
        <v>5141</v>
      </c>
      <c r="AU431">
        <v>1999</v>
      </c>
      <c r="AV431">
        <v>34</v>
      </c>
      <c r="AW431" t="s">
        <v>74</v>
      </c>
      <c r="AX431" t="s">
        <v>74</v>
      </c>
      <c r="AY431" t="s">
        <v>1295</v>
      </c>
      <c r="AZ431" t="s">
        <v>74</v>
      </c>
      <c r="BA431" t="s">
        <v>74</v>
      </c>
      <c r="BB431" t="s">
        <v>5882</v>
      </c>
      <c r="BC431" t="s">
        <v>5882</v>
      </c>
      <c r="BD431" t="s">
        <v>74</v>
      </c>
      <c r="BE431" t="s">
        <v>74</v>
      </c>
      <c r="BF431" t="s">
        <v>74</v>
      </c>
      <c r="BG431" t="s">
        <v>74</v>
      </c>
      <c r="BH431" t="s">
        <v>74</v>
      </c>
      <c r="BI431">
        <v>1</v>
      </c>
      <c r="BJ431" t="s">
        <v>216</v>
      </c>
      <c r="BK431" t="s">
        <v>96</v>
      </c>
      <c r="BL431" t="s">
        <v>216</v>
      </c>
      <c r="BM431" t="s">
        <v>5870</v>
      </c>
      <c r="BN431" t="s">
        <v>74</v>
      </c>
      <c r="BO431" t="s">
        <v>74</v>
      </c>
      <c r="BP431" t="s">
        <v>74</v>
      </c>
      <c r="BQ431" t="s">
        <v>74</v>
      </c>
      <c r="BR431" t="s">
        <v>99</v>
      </c>
      <c r="BS431" t="s">
        <v>5883</v>
      </c>
      <c r="BT431" t="str">
        <f>HYPERLINK("https%3A%2F%2Fwww.webofscience.com%2Fwos%2Fwoscc%2Ffull-record%2FWOS:000081826400160","View Full Record in Web of Science")</f>
        <v>View Full Record in Web of Science</v>
      </c>
    </row>
    <row r="432" spans="1:72" x14ac:dyDescent="0.15">
      <c r="A432" t="s">
        <v>72</v>
      </c>
      <c r="B432" t="s">
        <v>5884</v>
      </c>
      <c r="C432" t="s">
        <v>74</v>
      </c>
      <c r="D432" t="s">
        <v>74</v>
      </c>
      <c r="E432" t="s">
        <v>74</v>
      </c>
      <c r="F432" t="s">
        <v>5884</v>
      </c>
      <c r="G432" t="s">
        <v>74</v>
      </c>
      <c r="H432" t="s">
        <v>74</v>
      </c>
      <c r="I432" t="s">
        <v>5885</v>
      </c>
      <c r="J432" t="s">
        <v>2418</v>
      </c>
      <c r="K432" t="s">
        <v>74</v>
      </c>
      <c r="L432" t="s">
        <v>74</v>
      </c>
      <c r="M432" t="s">
        <v>77</v>
      </c>
      <c r="N432" t="s">
        <v>78</v>
      </c>
      <c r="O432" t="s">
        <v>74</v>
      </c>
      <c r="P432" t="s">
        <v>74</v>
      </c>
      <c r="Q432" t="s">
        <v>74</v>
      </c>
      <c r="R432" t="s">
        <v>74</v>
      </c>
      <c r="S432" t="s">
        <v>74</v>
      </c>
      <c r="T432" t="s">
        <v>5886</v>
      </c>
      <c r="U432" t="s">
        <v>5887</v>
      </c>
      <c r="V432" t="s">
        <v>5888</v>
      </c>
      <c r="W432" t="s">
        <v>5889</v>
      </c>
      <c r="X432" t="s">
        <v>5890</v>
      </c>
      <c r="Y432" t="s">
        <v>5891</v>
      </c>
      <c r="Z432" t="s">
        <v>74</v>
      </c>
      <c r="AA432" t="s">
        <v>5892</v>
      </c>
      <c r="AB432" t="s">
        <v>5893</v>
      </c>
      <c r="AC432" t="s">
        <v>74</v>
      </c>
      <c r="AD432" t="s">
        <v>74</v>
      </c>
      <c r="AE432" t="s">
        <v>74</v>
      </c>
      <c r="AF432" t="s">
        <v>74</v>
      </c>
      <c r="AG432">
        <v>8</v>
      </c>
      <c r="AH432">
        <v>58</v>
      </c>
      <c r="AI432">
        <v>64</v>
      </c>
      <c r="AJ432">
        <v>2</v>
      </c>
      <c r="AK432">
        <v>13</v>
      </c>
      <c r="AL432" t="s">
        <v>2426</v>
      </c>
      <c r="AM432" t="s">
        <v>2427</v>
      </c>
      <c r="AN432" t="s">
        <v>2428</v>
      </c>
      <c r="AO432" t="s">
        <v>2429</v>
      </c>
      <c r="AP432" t="s">
        <v>74</v>
      </c>
      <c r="AQ432" t="s">
        <v>74</v>
      </c>
      <c r="AR432" t="s">
        <v>2418</v>
      </c>
      <c r="AS432" t="s">
        <v>2430</v>
      </c>
      <c r="AT432" t="s">
        <v>5141</v>
      </c>
      <c r="AU432">
        <v>1999</v>
      </c>
      <c r="AV432">
        <v>22</v>
      </c>
      <c r="AW432">
        <v>3</v>
      </c>
      <c r="AX432" t="s">
        <v>74</v>
      </c>
      <c r="AY432" t="s">
        <v>74</v>
      </c>
      <c r="AZ432" t="s">
        <v>74</v>
      </c>
      <c r="BA432" t="s">
        <v>74</v>
      </c>
      <c r="BB432">
        <v>249</v>
      </c>
      <c r="BC432">
        <v>256</v>
      </c>
      <c r="BD432" t="s">
        <v>74</v>
      </c>
      <c r="BE432" t="s">
        <v>74</v>
      </c>
      <c r="BF432" t="s">
        <v>74</v>
      </c>
      <c r="BG432" t="s">
        <v>74</v>
      </c>
      <c r="BH432" t="s">
        <v>74</v>
      </c>
      <c r="BI432">
        <v>8</v>
      </c>
      <c r="BJ432" t="s">
        <v>2075</v>
      </c>
      <c r="BK432" t="s">
        <v>96</v>
      </c>
      <c r="BL432" t="s">
        <v>2075</v>
      </c>
      <c r="BM432" t="s">
        <v>5894</v>
      </c>
      <c r="BN432">
        <v>10423744</v>
      </c>
      <c r="BO432" t="s">
        <v>74</v>
      </c>
      <c r="BP432" t="s">
        <v>74</v>
      </c>
      <c r="BQ432" t="s">
        <v>74</v>
      </c>
      <c r="BR432" t="s">
        <v>99</v>
      </c>
      <c r="BS432" t="s">
        <v>5895</v>
      </c>
      <c r="BT432" t="str">
        <f>HYPERLINK("https%3A%2F%2Fwww.webofscience.com%2Fwos%2Fwoscc%2Ffull-record%2FWOS:000081445900012","View Full Record in Web of Science")</f>
        <v>View Full Record in Web of Science</v>
      </c>
    </row>
    <row r="433" spans="1:72" x14ac:dyDescent="0.15">
      <c r="A433" t="s">
        <v>72</v>
      </c>
      <c r="B433" t="s">
        <v>5896</v>
      </c>
      <c r="C433" t="s">
        <v>74</v>
      </c>
      <c r="D433" t="s">
        <v>74</v>
      </c>
      <c r="E433" t="s">
        <v>74</v>
      </c>
      <c r="F433" t="s">
        <v>5896</v>
      </c>
      <c r="G433" t="s">
        <v>74</v>
      </c>
      <c r="H433" t="s">
        <v>74</v>
      </c>
      <c r="I433" t="s">
        <v>5897</v>
      </c>
      <c r="J433" t="s">
        <v>5898</v>
      </c>
      <c r="K433" t="s">
        <v>74</v>
      </c>
      <c r="L433" t="s">
        <v>74</v>
      </c>
      <c r="M433" t="s">
        <v>77</v>
      </c>
      <c r="N433" t="s">
        <v>78</v>
      </c>
      <c r="O433" t="s">
        <v>74</v>
      </c>
      <c r="P433" t="s">
        <v>74</v>
      </c>
      <c r="Q433" t="s">
        <v>74</v>
      </c>
      <c r="R433" t="s">
        <v>74</v>
      </c>
      <c r="S433" t="s">
        <v>74</v>
      </c>
      <c r="T433" t="s">
        <v>5899</v>
      </c>
      <c r="U433" t="s">
        <v>5900</v>
      </c>
      <c r="V433" t="s">
        <v>5901</v>
      </c>
      <c r="W433" t="s">
        <v>5902</v>
      </c>
      <c r="X433" t="s">
        <v>5903</v>
      </c>
      <c r="Y433" t="s">
        <v>5904</v>
      </c>
      <c r="Z433" t="s">
        <v>5905</v>
      </c>
      <c r="AA433" t="s">
        <v>5906</v>
      </c>
      <c r="AB433" t="s">
        <v>5907</v>
      </c>
      <c r="AC433" t="s">
        <v>74</v>
      </c>
      <c r="AD433" t="s">
        <v>74</v>
      </c>
      <c r="AE433" t="s">
        <v>74</v>
      </c>
      <c r="AF433" t="s">
        <v>74</v>
      </c>
      <c r="AG433">
        <v>41</v>
      </c>
      <c r="AH433">
        <v>36</v>
      </c>
      <c r="AI433">
        <v>51</v>
      </c>
      <c r="AJ433">
        <v>1</v>
      </c>
      <c r="AK433">
        <v>4</v>
      </c>
      <c r="AL433" t="s">
        <v>1090</v>
      </c>
      <c r="AM433" t="s">
        <v>276</v>
      </c>
      <c r="AN433" t="s">
        <v>1091</v>
      </c>
      <c r="AO433" t="s">
        <v>5908</v>
      </c>
      <c r="AP433" t="s">
        <v>5909</v>
      </c>
      <c r="AQ433" t="s">
        <v>74</v>
      </c>
      <c r="AR433" t="s">
        <v>5910</v>
      </c>
      <c r="AS433" t="s">
        <v>5911</v>
      </c>
      <c r="AT433" t="s">
        <v>5141</v>
      </c>
      <c r="AU433">
        <v>1999</v>
      </c>
      <c r="AV433">
        <v>16</v>
      </c>
      <c r="AW433">
        <v>7</v>
      </c>
      <c r="AX433" t="s">
        <v>74</v>
      </c>
      <c r="AY433" t="s">
        <v>74</v>
      </c>
      <c r="AZ433" t="s">
        <v>74</v>
      </c>
      <c r="BA433" t="s">
        <v>74</v>
      </c>
      <c r="BB433">
        <v>885</v>
      </c>
      <c r="BC433">
        <v>897</v>
      </c>
      <c r="BD433" t="s">
        <v>74</v>
      </c>
      <c r="BE433" t="s">
        <v>5912</v>
      </c>
      <c r="BF433" t="str">
        <f>HYPERLINK("http://dx.doi.org/10.1093/oxfordjournals.molbev.a026178","http://dx.doi.org/10.1093/oxfordjournals.molbev.a026178")</f>
        <v>http://dx.doi.org/10.1093/oxfordjournals.molbev.a026178</v>
      </c>
      <c r="BG433" t="s">
        <v>74</v>
      </c>
      <c r="BH433" t="s">
        <v>74</v>
      </c>
      <c r="BI433">
        <v>13</v>
      </c>
      <c r="BJ433" t="s">
        <v>5913</v>
      </c>
      <c r="BK433" t="s">
        <v>96</v>
      </c>
      <c r="BL433" t="s">
        <v>5913</v>
      </c>
      <c r="BM433" t="s">
        <v>5914</v>
      </c>
      <c r="BN433">
        <v>10406107</v>
      </c>
      <c r="BO433" t="s">
        <v>74</v>
      </c>
      <c r="BP433" t="s">
        <v>74</v>
      </c>
      <c r="BQ433" t="s">
        <v>74</v>
      </c>
      <c r="BR433" t="s">
        <v>99</v>
      </c>
      <c r="BS433" t="s">
        <v>5915</v>
      </c>
      <c r="BT433" t="str">
        <f>HYPERLINK("https%3A%2F%2Fwww.webofscience.com%2Fwos%2Fwoscc%2Ffull-record%2FWOS:000081347500001","View Full Record in Web of Science")</f>
        <v>View Full Record in Web of Science</v>
      </c>
    </row>
    <row r="434" spans="1:72" x14ac:dyDescent="0.15">
      <c r="A434" t="s">
        <v>72</v>
      </c>
      <c r="B434" t="s">
        <v>5916</v>
      </c>
      <c r="C434" t="s">
        <v>74</v>
      </c>
      <c r="D434" t="s">
        <v>74</v>
      </c>
      <c r="E434" t="s">
        <v>74</v>
      </c>
      <c r="F434" t="s">
        <v>5916</v>
      </c>
      <c r="G434" t="s">
        <v>74</v>
      </c>
      <c r="H434" t="s">
        <v>74</v>
      </c>
      <c r="I434" t="s">
        <v>5917</v>
      </c>
      <c r="J434" t="s">
        <v>1337</v>
      </c>
      <c r="K434" t="s">
        <v>74</v>
      </c>
      <c r="L434" t="s">
        <v>74</v>
      </c>
      <c r="M434" t="s">
        <v>77</v>
      </c>
      <c r="N434" t="s">
        <v>78</v>
      </c>
      <c r="O434" t="s">
        <v>74</v>
      </c>
      <c r="P434" t="s">
        <v>74</v>
      </c>
      <c r="Q434" t="s">
        <v>74</v>
      </c>
      <c r="R434" t="s">
        <v>74</v>
      </c>
      <c r="S434" t="s">
        <v>74</v>
      </c>
      <c r="T434" t="s">
        <v>5918</v>
      </c>
      <c r="U434" t="s">
        <v>5919</v>
      </c>
      <c r="V434" t="s">
        <v>5920</v>
      </c>
      <c r="W434" t="s">
        <v>5921</v>
      </c>
      <c r="X434" t="s">
        <v>5922</v>
      </c>
      <c r="Y434" t="s">
        <v>2290</v>
      </c>
      <c r="Z434" t="s">
        <v>5923</v>
      </c>
      <c r="AA434" t="s">
        <v>4548</v>
      </c>
      <c r="AB434" t="s">
        <v>4549</v>
      </c>
      <c r="AC434" t="s">
        <v>74</v>
      </c>
      <c r="AD434" t="s">
        <v>74</v>
      </c>
      <c r="AE434" t="s">
        <v>74</v>
      </c>
      <c r="AF434" t="s">
        <v>74</v>
      </c>
      <c r="AG434">
        <v>91</v>
      </c>
      <c r="AH434">
        <v>50</v>
      </c>
      <c r="AI434">
        <v>55</v>
      </c>
      <c r="AJ434">
        <v>2</v>
      </c>
      <c r="AK434">
        <v>14</v>
      </c>
      <c r="AL434" t="s">
        <v>1263</v>
      </c>
      <c r="AM434" t="s">
        <v>211</v>
      </c>
      <c r="AN434" t="s">
        <v>1264</v>
      </c>
      <c r="AO434" t="s">
        <v>1345</v>
      </c>
      <c r="AP434" t="s">
        <v>1346</v>
      </c>
      <c r="AQ434" t="s">
        <v>74</v>
      </c>
      <c r="AR434" t="s">
        <v>1347</v>
      </c>
      <c r="AS434" t="s">
        <v>1348</v>
      </c>
      <c r="AT434" t="s">
        <v>5439</v>
      </c>
      <c r="AU434">
        <v>1999</v>
      </c>
      <c r="AV434">
        <v>150</v>
      </c>
      <c r="AW434" t="s">
        <v>141</v>
      </c>
      <c r="AX434" t="s">
        <v>74</v>
      </c>
      <c r="AY434" t="s">
        <v>74</v>
      </c>
      <c r="AZ434" t="s">
        <v>74</v>
      </c>
      <c r="BA434" t="s">
        <v>74</v>
      </c>
      <c r="BB434">
        <v>247</v>
      </c>
      <c r="BC434">
        <v>267</v>
      </c>
      <c r="BD434" t="s">
        <v>74</v>
      </c>
      <c r="BE434" t="s">
        <v>5924</v>
      </c>
      <c r="BF434" t="str">
        <f>HYPERLINK("http://dx.doi.org/10.1016/S0031-0182(98)00224-7","http://dx.doi.org/10.1016/S0031-0182(98)00224-7")</f>
        <v>http://dx.doi.org/10.1016/S0031-0182(98)00224-7</v>
      </c>
      <c r="BG434" t="s">
        <v>74</v>
      </c>
      <c r="BH434" t="s">
        <v>74</v>
      </c>
      <c r="BI434">
        <v>21</v>
      </c>
      <c r="BJ434" t="s">
        <v>1350</v>
      </c>
      <c r="BK434" t="s">
        <v>96</v>
      </c>
      <c r="BL434" t="s">
        <v>1351</v>
      </c>
      <c r="BM434" t="s">
        <v>5925</v>
      </c>
      <c r="BN434" t="s">
        <v>74</v>
      </c>
      <c r="BO434" t="s">
        <v>518</v>
      </c>
      <c r="BP434" t="s">
        <v>74</v>
      </c>
      <c r="BQ434" t="s">
        <v>74</v>
      </c>
      <c r="BR434" t="s">
        <v>99</v>
      </c>
      <c r="BS434" t="s">
        <v>5926</v>
      </c>
      <c r="BT434" t="str">
        <f>HYPERLINK("https%3A%2F%2Fwww.webofscience.com%2Fwos%2Fwoscc%2Ffull-record%2FWOS:000081126700005","View Full Record in Web of Science")</f>
        <v>View Full Record in Web of Science</v>
      </c>
    </row>
    <row r="435" spans="1:72" x14ac:dyDescent="0.15">
      <c r="A435" t="s">
        <v>72</v>
      </c>
      <c r="B435" t="s">
        <v>5927</v>
      </c>
      <c r="C435" t="s">
        <v>74</v>
      </c>
      <c r="D435" t="s">
        <v>74</v>
      </c>
      <c r="E435" t="s">
        <v>74</v>
      </c>
      <c r="F435" t="s">
        <v>5927</v>
      </c>
      <c r="G435" t="s">
        <v>74</v>
      </c>
      <c r="H435" t="s">
        <v>74</v>
      </c>
      <c r="I435" t="s">
        <v>5928</v>
      </c>
      <c r="J435" t="s">
        <v>5929</v>
      </c>
      <c r="K435" t="s">
        <v>74</v>
      </c>
      <c r="L435" t="s">
        <v>74</v>
      </c>
      <c r="M435" t="s">
        <v>77</v>
      </c>
      <c r="N435" t="s">
        <v>78</v>
      </c>
      <c r="O435" t="s">
        <v>74</v>
      </c>
      <c r="P435" t="s">
        <v>74</v>
      </c>
      <c r="Q435" t="s">
        <v>74</v>
      </c>
      <c r="R435" t="s">
        <v>74</v>
      </c>
      <c r="S435" t="s">
        <v>74</v>
      </c>
      <c r="T435" t="s">
        <v>5930</v>
      </c>
      <c r="U435" t="s">
        <v>5931</v>
      </c>
      <c r="V435" t="s">
        <v>5932</v>
      </c>
      <c r="W435" t="s">
        <v>5933</v>
      </c>
      <c r="X435" t="s">
        <v>5934</v>
      </c>
      <c r="Y435" t="s">
        <v>5935</v>
      </c>
      <c r="Z435" t="s">
        <v>74</v>
      </c>
      <c r="AA435" t="s">
        <v>74</v>
      </c>
      <c r="AB435" t="s">
        <v>74</v>
      </c>
      <c r="AC435" t="s">
        <v>74</v>
      </c>
      <c r="AD435" t="s">
        <v>74</v>
      </c>
      <c r="AE435" t="s">
        <v>74</v>
      </c>
      <c r="AF435" t="s">
        <v>74</v>
      </c>
      <c r="AG435">
        <v>15</v>
      </c>
      <c r="AH435">
        <v>13</v>
      </c>
      <c r="AI435">
        <v>15</v>
      </c>
      <c r="AJ435">
        <v>1</v>
      </c>
      <c r="AK435">
        <v>8</v>
      </c>
      <c r="AL435" t="s">
        <v>2189</v>
      </c>
      <c r="AM435" t="s">
        <v>2190</v>
      </c>
      <c r="AN435" t="s">
        <v>2191</v>
      </c>
      <c r="AO435" t="s">
        <v>5936</v>
      </c>
      <c r="AP435" t="s">
        <v>74</v>
      </c>
      <c r="AQ435" t="s">
        <v>74</v>
      </c>
      <c r="AR435" t="s">
        <v>5937</v>
      </c>
      <c r="AS435" t="s">
        <v>5938</v>
      </c>
      <c r="AT435" t="s">
        <v>5939</v>
      </c>
      <c r="AU435">
        <v>1999</v>
      </c>
      <c r="AV435">
        <v>10</v>
      </c>
      <c r="AW435">
        <v>3</v>
      </c>
      <c r="AX435" t="s">
        <v>74</v>
      </c>
      <c r="AY435" t="s">
        <v>74</v>
      </c>
      <c r="AZ435" t="s">
        <v>74</v>
      </c>
      <c r="BA435" t="s">
        <v>74</v>
      </c>
      <c r="BB435">
        <v>223</v>
      </c>
      <c r="BC435">
        <v>233</v>
      </c>
      <c r="BD435" t="s">
        <v>74</v>
      </c>
      <c r="BE435" t="s">
        <v>5940</v>
      </c>
      <c r="BF435" t="str">
        <f>HYPERLINK("http://dx.doi.org/10.1002/(SICI)1099-1530(199907/09)10:3&lt;223::AID-PPP327&gt;3.0.CO;2-R","http://dx.doi.org/10.1002/(SICI)1099-1530(199907/09)10:3&lt;223::AID-PPP327&gt;3.0.CO;2-R")</f>
        <v>http://dx.doi.org/10.1002/(SICI)1099-1530(199907/09)10:3&lt;223::AID-PPP327&gt;3.0.CO;2-R</v>
      </c>
      <c r="BG435" t="s">
        <v>74</v>
      </c>
      <c r="BH435" t="s">
        <v>74</v>
      </c>
      <c r="BI435">
        <v>11</v>
      </c>
      <c r="BJ435" t="s">
        <v>5941</v>
      </c>
      <c r="BK435" t="s">
        <v>96</v>
      </c>
      <c r="BL435" t="s">
        <v>2152</v>
      </c>
      <c r="BM435" t="s">
        <v>5942</v>
      </c>
      <c r="BN435" t="s">
        <v>74</v>
      </c>
      <c r="BO435" t="s">
        <v>74</v>
      </c>
      <c r="BP435" t="s">
        <v>74</v>
      </c>
      <c r="BQ435" t="s">
        <v>74</v>
      </c>
      <c r="BR435" t="s">
        <v>99</v>
      </c>
      <c r="BS435" t="s">
        <v>5943</v>
      </c>
      <c r="BT435" t="str">
        <f>HYPERLINK("https%3A%2F%2Fwww.webofscience.com%2Fwos%2Fwoscc%2Ffull-record%2FWOS:000084045600003","View Full Record in Web of Science")</f>
        <v>View Full Record in Web of Science</v>
      </c>
    </row>
    <row r="436" spans="1:72" x14ac:dyDescent="0.15">
      <c r="A436" t="s">
        <v>72</v>
      </c>
      <c r="B436" t="s">
        <v>5944</v>
      </c>
      <c r="C436" t="s">
        <v>74</v>
      </c>
      <c r="D436" t="s">
        <v>74</v>
      </c>
      <c r="E436" t="s">
        <v>74</v>
      </c>
      <c r="F436" t="s">
        <v>5944</v>
      </c>
      <c r="G436" t="s">
        <v>74</v>
      </c>
      <c r="H436" t="s">
        <v>74</v>
      </c>
      <c r="I436" t="s">
        <v>5945</v>
      </c>
      <c r="J436" t="s">
        <v>5946</v>
      </c>
      <c r="K436" t="s">
        <v>74</v>
      </c>
      <c r="L436" t="s">
        <v>74</v>
      </c>
      <c r="M436" t="s">
        <v>77</v>
      </c>
      <c r="N436" t="s">
        <v>78</v>
      </c>
      <c r="O436" t="s">
        <v>74</v>
      </c>
      <c r="P436" t="s">
        <v>74</v>
      </c>
      <c r="Q436" t="s">
        <v>74</v>
      </c>
      <c r="R436" t="s">
        <v>74</v>
      </c>
      <c r="S436" t="s">
        <v>74</v>
      </c>
      <c r="T436" t="s">
        <v>74</v>
      </c>
      <c r="U436" t="s">
        <v>5947</v>
      </c>
      <c r="V436" t="s">
        <v>5948</v>
      </c>
      <c r="W436" t="s">
        <v>5949</v>
      </c>
      <c r="X436" t="s">
        <v>5950</v>
      </c>
      <c r="Y436" t="s">
        <v>5951</v>
      </c>
      <c r="Z436" t="s">
        <v>74</v>
      </c>
      <c r="AA436" t="s">
        <v>5952</v>
      </c>
      <c r="AB436" t="s">
        <v>5953</v>
      </c>
      <c r="AC436" t="s">
        <v>74</v>
      </c>
      <c r="AD436" t="s">
        <v>74</v>
      </c>
      <c r="AE436" t="s">
        <v>74</v>
      </c>
      <c r="AF436" t="s">
        <v>74</v>
      </c>
      <c r="AG436">
        <v>90</v>
      </c>
      <c r="AH436">
        <v>49</v>
      </c>
      <c r="AI436">
        <v>53</v>
      </c>
      <c r="AJ436">
        <v>0</v>
      </c>
      <c r="AK436">
        <v>3</v>
      </c>
      <c r="AL436" t="s">
        <v>5954</v>
      </c>
      <c r="AM436" t="s">
        <v>2392</v>
      </c>
      <c r="AN436" t="s">
        <v>5955</v>
      </c>
      <c r="AO436" t="s">
        <v>5956</v>
      </c>
      <c r="AP436" t="s">
        <v>74</v>
      </c>
      <c r="AQ436" t="s">
        <v>74</v>
      </c>
      <c r="AR436" t="s">
        <v>5946</v>
      </c>
      <c r="AS436" t="s">
        <v>5957</v>
      </c>
      <c r="AT436" t="s">
        <v>5141</v>
      </c>
      <c r="AU436">
        <v>1999</v>
      </c>
      <c r="AV436">
        <v>38</v>
      </c>
      <c r="AW436">
        <v>4</v>
      </c>
      <c r="AX436" t="s">
        <v>74</v>
      </c>
      <c r="AY436" t="s">
        <v>74</v>
      </c>
      <c r="AZ436" t="s">
        <v>74</v>
      </c>
      <c r="BA436" t="s">
        <v>74</v>
      </c>
      <c r="BB436">
        <v>314</v>
      </c>
      <c r="BC436">
        <v>341</v>
      </c>
      <c r="BD436" t="s">
        <v>74</v>
      </c>
      <c r="BE436" t="s">
        <v>5958</v>
      </c>
      <c r="BF436" t="str">
        <f>HYPERLINK("http://dx.doi.org/10.2216/i0031-8884-38-4-314.1","http://dx.doi.org/10.2216/i0031-8884-38-4-314.1")</f>
        <v>http://dx.doi.org/10.2216/i0031-8884-38-4-314.1</v>
      </c>
      <c r="BG436" t="s">
        <v>74</v>
      </c>
      <c r="BH436" t="s">
        <v>74</v>
      </c>
      <c r="BI436">
        <v>28</v>
      </c>
      <c r="BJ436" t="s">
        <v>2033</v>
      </c>
      <c r="BK436" t="s">
        <v>96</v>
      </c>
      <c r="BL436" t="s">
        <v>2033</v>
      </c>
      <c r="BM436" t="s">
        <v>5959</v>
      </c>
      <c r="BN436" t="s">
        <v>74</v>
      </c>
      <c r="BO436" t="s">
        <v>74</v>
      </c>
      <c r="BP436" t="s">
        <v>74</v>
      </c>
      <c r="BQ436" t="s">
        <v>74</v>
      </c>
      <c r="BR436" t="s">
        <v>99</v>
      </c>
      <c r="BS436" t="s">
        <v>5960</v>
      </c>
      <c r="BT436" t="str">
        <f>HYPERLINK("https%3A%2F%2Fwww.webofscience.com%2Fwos%2Fwoscc%2Ffull-record%2FWOS:000082910500008","View Full Record in Web of Science")</f>
        <v>View Full Record in Web of Science</v>
      </c>
    </row>
    <row r="437" spans="1:72" x14ac:dyDescent="0.15">
      <c r="A437" t="s">
        <v>72</v>
      </c>
      <c r="B437" t="s">
        <v>5961</v>
      </c>
      <c r="C437" t="s">
        <v>74</v>
      </c>
      <c r="D437" t="s">
        <v>74</v>
      </c>
      <c r="E437" t="s">
        <v>74</v>
      </c>
      <c r="F437" t="s">
        <v>5961</v>
      </c>
      <c r="G437" t="s">
        <v>74</v>
      </c>
      <c r="H437" t="s">
        <v>74</v>
      </c>
      <c r="I437" t="s">
        <v>5962</v>
      </c>
      <c r="J437" t="s">
        <v>5963</v>
      </c>
      <c r="K437" t="s">
        <v>74</v>
      </c>
      <c r="L437" t="s">
        <v>74</v>
      </c>
      <c r="M437" t="s">
        <v>77</v>
      </c>
      <c r="N437" t="s">
        <v>78</v>
      </c>
      <c r="O437" t="s">
        <v>74</v>
      </c>
      <c r="P437" t="s">
        <v>74</v>
      </c>
      <c r="Q437" t="s">
        <v>74</v>
      </c>
      <c r="R437" t="s">
        <v>74</v>
      </c>
      <c r="S437" t="s">
        <v>74</v>
      </c>
      <c r="T437" t="s">
        <v>74</v>
      </c>
      <c r="U437" t="s">
        <v>5964</v>
      </c>
      <c r="V437" t="s">
        <v>5965</v>
      </c>
      <c r="W437" t="s">
        <v>5966</v>
      </c>
      <c r="X437" t="s">
        <v>5967</v>
      </c>
      <c r="Y437" t="s">
        <v>5968</v>
      </c>
      <c r="Z437" t="s">
        <v>5969</v>
      </c>
      <c r="AA437" t="s">
        <v>5970</v>
      </c>
      <c r="AB437" t="s">
        <v>5971</v>
      </c>
      <c r="AC437" t="s">
        <v>74</v>
      </c>
      <c r="AD437" t="s">
        <v>74</v>
      </c>
      <c r="AE437" t="s">
        <v>74</v>
      </c>
      <c r="AF437" t="s">
        <v>74</v>
      </c>
      <c r="AG437">
        <v>59</v>
      </c>
      <c r="AH437">
        <v>106</v>
      </c>
      <c r="AI437">
        <v>114</v>
      </c>
      <c r="AJ437">
        <v>0</v>
      </c>
      <c r="AK437">
        <v>29</v>
      </c>
      <c r="AL437" t="s">
        <v>997</v>
      </c>
      <c r="AM437" t="s">
        <v>998</v>
      </c>
      <c r="AN437" t="s">
        <v>999</v>
      </c>
      <c r="AO437" t="s">
        <v>5972</v>
      </c>
      <c r="AP437" t="s">
        <v>5973</v>
      </c>
      <c r="AQ437" t="s">
        <v>74</v>
      </c>
      <c r="AR437" t="s">
        <v>5974</v>
      </c>
      <c r="AS437" t="s">
        <v>5975</v>
      </c>
      <c r="AT437" t="s">
        <v>5141</v>
      </c>
      <c r="AU437">
        <v>1999</v>
      </c>
      <c r="AV437">
        <v>106</v>
      </c>
      <c r="AW437">
        <v>3</v>
      </c>
      <c r="AX437" t="s">
        <v>74</v>
      </c>
      <c r="AY437" t="s">
        <v>74</v>
      </c>
      <c r="AZ437" t="s">
        <v>74</v>
      </c>
      <c r="BA437" t="s">
        <v>74</v>
      </c>
      <c r="BB437">
        <v>276</v>
      </c>
      <c r="BC437">
        <v>286</v>
      </c>
      <c r="BD437" t="s">
        <v>74</v>
      </c>
      <c r="BE437" t="s">
        <v>5976</v>
      </c>
      <c r="BF437" t="str">
        <f>HYPERLINK("http://dx.doi.org/10.1034/j.1399-3054.1999.106304.x","http://dx.doi.org/10.1034/j.1399-3054.1999.106304.x")</f>
        <v>http://dx.doi.org/10.1034/j.1399-3054.1999.106304.x</v>
      </c>
      <c r="BG437" t="s">
        <v>74</v>
      </c>
      <c r="BH437" t="s">
        <v>74</v>
      </c>
      <c r="BI437">
        <v>11</v>
      </c>
      <c r="BJ437" t="s">
        <v>5977</v>
      </c>
      <c r="BK437" t="s">
        <v>96</v>
      </c>
      <c r="BL437" t="s">
        <v>5977</v>
      </c>
      <c r="BM437" t="s">
        <v>5978</v>
      </c>
      <c r="BN437" t="s">
        <v>74</v>
      </c>
      <c r="BO437" t="s">
        <v>250</v>
      </c>
      <c r="BP437" t="s">
        <v>74</v>
      </c>
      <c r="BQ437" t="s">
        <v>74</v>
      </c>
      <c r="BR437" t="s">
        <v>99</v>
      </c>
      <c r="BS437" t="s">
        <v>5979</v>
      </c>
      <c r="BT437" t="str">
        <f>HYPERLINK("https%3A%2F%2Fwww.webofscience.com%2Fwos%2Fwoscc%2Ffull-record%2FWOS:000082812200004","View Full Record in Web of Science")</f>
        <v>View Full Record in Web of Science</v>
      </c>
    </row>
    <row r="438" spans="1:72" x14ac:dyDescent="0.15">
      <c r="A438" t="s">
        <v>72</v>
      </c>
      <c r="B438" t="s">
        <v>5980</v>
      </c>
      <c r="C438" t="s">
        <v>74</v>
      </c>
      <c r="D438" t="s">
        <v>74</v>
      </c>
      <c r="E438" t="s">
        <v>74</v>
      </c>
      <c r="F438" t="s">
        <v>5980</v>
      </c>
      <c r="G438" t="s">
        <v>74</v>
      </c>
      <c r="H438" t="s">
        <v>74</v>
      </c>
      <c r="I438" t="s">
        <v>5981</v>
      </c>
      <c r="J438" t="s">
        <v>1375</v>
      </c>
      <c r="K438" t="s">
        <v>74</v>
      </c>
      <c r="L438" t="s">
        <v>74</v>
      </c>
      <c r="M438" t="s">
        <v>77</v>
      </c>
      <c r="N438" t="s">
        <v>78</v>
      </c>
      <c r="O438" t="s">
        <v>74</v>
      </c>
      <c r="P438" t="s">
        <v>74</v>
      </c>
      <c r="Q438" t="s">
        <v>74</v>
      </c>
      <c r="R438" t="s">
        <v>74</v>
      </c>
      <c r="S438" t="s">
        <v>74</v>
      </c>
      <c r="T438" t="s">
        <v>74</v>
      </c>
      <c r="U438" t="s">
        <v>5982</v>
      </c>
      <c r="V438" t="s">
        <v>5983</v>
      </c>
      <c r="W438" t="s">
        <v>5984</v>
      </c>
      <c r="X438" t="s">
        <v>5985</v>
      </c>
      <c r="Y438" t="s">
        <v>5986</v>
      </c>
      <c r="Z438" t="s">
        <v>74</v>
      </c>
      <c r="AA438" t="s">
        <v>5987</v>
      </c>
      <c r="AB438" t="s">
        <v>5988</v>
      </c>
      <c r="AC438" t="s">
        <v>74</v>
      </c>
      <c r="AD438" t="s">
        <v>74</v>
      </c>
      <c r="AE438" t="s">
        <v>74</v>
      </c>
      <c r="AF438" t="s">
        <v>74</v>
      </c>
      <c r="AG438">
        <v>20</v>
      </c>
      <c r="AH438">
        <v>48</v>
      </c>
      <c r="AI438">
        <v>51</v>
      </c>
      <c r="AJ438">
        <v>0</v>
      </c>
      <c r="AK438">
        <v>6</v>
      </c>
      <c r="AL438" t="s">
        <v>553</v>
      </c>
      <c r="AM438" t="s">
        <v>554</v>
      </c>
      <c r="AN438" t="s">
        <v>555</v>
      </c>
      <c r="AO438" t="s">
        <v>1379</v>
      </c>
      <c r="AP438" t="s">
        <v>74</v>
      </c>
      <c r="AQ438" t="s">
        <v>74</v>
      </c>
      <c r="AR438" t="s">
        <v>1380</v>
      </c>
      <c r="AS438" t="s">
        <v>1381</v>
      </c>
      <c r="AT438" t="s">
        <v>5141</v>
      </c>
      <c r="AU438">
        <v>1999</v>
      </c>
      <c r="AV438">
        <v>22</v>
      </c>
      <c r="AW438">
        <v>1</v>
      </c>
      <c r="AX438" t="s">
        <v>74</v>
      </c>
      <c r="AY438" t="s">
        <v>74</v>
      </c>
      <c r="AZ438" t="s">
        <v>74</v>
      </c>
      <c r="BA438" t="s">
        <v>74</v>
      </c>
      <c r="BB438">
        <v>1</v>
      </c>
      <c r="BC438">
        <v>6</v>
      </c>
      <c r="BD438" t="s">
        <v>74</v>
      </c>
      <c r="BE438" t="s">
        <v>5989</v>
      </c>
      <c r="BF438" t="str">
        <f>HYPERLINK("http://dx.doi.org/10.1007/s003000050383","http://dx.doi.org/10.1007/s003000050383")</f>
        <v>http://dx.doi.org/10.1007/s003000050383</v>
      </c>
      <c r="BG438" t="s">
        <v>74</v>
      </c>
      <c r="BH438" t="s">
        <v>74</v>
      </c>
      <c r="BI438">
        <v>6</v>
      </c>
      <c r="BJ438" t="s">
        <v>1383</v>
      </c>
      <c r="BK438" t="s">
        <v>96</v>
      </c>
      <c r="BL438" t="s">
        <v>1384</v>
      </c>
      <c r="BM438" t="s">
        <v>5990</v>
      </c>
      <c r="BN438" t="s">
        <v>74</v>
      </c>
      <c r="BO438" t="s">
        <v>74</v>
      </c>
      <c r="BP438" t="s">
        <v>74</v>
      </c>
      <c r="BQ438" t="s">
        <v>74</v>
      </c>
      <c r="BR438" t="s">
        <v>99</v>
      </c>
      <c r="BS438" t="s">
        <v>5991</v>
      </c>
      <c r="BT438" t="str">
        <f>HYPERLINK("https%3A%2F%2Fwww.webofscience.com%2Fwos%2Fwoscc%2Ffull-record%2FWOS:000081302000001","View Full Record in Web of Science")</f>
        <v>View Full Record in Web of Science</v>
      </c>
    </row>
    <row r="439" spans="1:72" x14ac:dyDescent="0.15">
      <c r="A439" t="s">
        <v>72</v>
      </c>
      <c r="B439" t="s">
        <v>5992</v>
      </c>
      <c r="C439" t="s">
        <v>74</v>
      </c>
      <c r="D439" t="s">
        <v>74</v>
      </c>
      <c r="E439" t="s">
        <v>74</v>
      </c>
      <c r="F439" t="s">
        <v>5992</v>
      </c>
      <c r="G439" t="s">
        <v>74</v>
      </c>
      <c r="H439" t="s">
        <v>74</v>
      </c>
      <c r="I439" t="s">
        <v>5993</v>
      </c>
      <c r="J439" t="s">
        <v>1375</v>
      </c>
      <c r="K439" t="s">
        <v>74</v>
      </c>
      <c r="L439" t="s">
        <v>74</v>
      </c>
      <c r="M439" t="s">
        <v>77</v>
      </c>
      <c r="N439" t="s">
        <v>78</v>
      </c>
      <c r="O439" t="s">
        <v>74</v>
      </c>
      <c r="P439" t="s">
        <v>74</v>
      </c>
      <c r="Q439" t="s">
        <v>74</v>
      </c>
      <c r="R439" t="s">
        <v>74</v>
      </c>
      <c r="S439" t="s">
        <v>74</v>
      </c>
      <c r="T439" t="s">
        <v>74</v>
      </c>
      <c r="U439" t="s">
        <v>5994</v>
      </c>
      <c r="V439" t="s">
        <v>5995</v>
      </c>
      <c r="W439" t="s">
        <v>5996</v>
      </c>
      <c r="X439" t="s">
        <v>5163</v>
      </c>
      <c r="Y439" t="s">
        <v>5997</v>
      </c>
      <c r="Z439" t="s">
        <v>74</v>
      </c>
      <c r="AA439" t="s">
        <v>5998</v>
      </c>
      <c r="AB439" t="s">
        <v>5999</v>
      </c>
      <c r="AC439" t="s">
        <v>74</v>
      </c>
      <c r="AD439" t="s">
        <v>74</v>
      </c>
      <c r="AE439" t="s">
        <v>74</v>
      </c>
      <c r="AF439" t="s">
        <v>74</v>
      </c>
      <c r="AG439">
        <v>28</v>
      </c>
      <c r="AH439">
        <v>9</v>
      </c>
      <c r="AI439">
        <v>10</v>
      </c>
      <c r="AJ439">
        <v>0</v>
      </c>
      <c r="AK439">
        <v>4</v>
      </c>
      <c r="AL439" t="s">
        <v>553</v>
      </c>
      <c r="AM439" t="s">
        <v>554</v>
      </c>
      <c r="AN439" t="s">
        <v>555</v>
      </c>
      <c r="AO439" t="s">
        <v>1379</v>
      </c>
      <c r="AP439" t="s">
        <v>74</v>
      </c>
      <c r="AQ439" t="s">
        <v>74</v>
      </c>
      <c r="AR439" t="s">
        <v>1380</v>
      </c>
      <c r="AS439" t="s">
        <v>1381</v>
      </c>
      <c r="AT439" t="s">
        <v>5141</v>
      </c>
      <c r="AU439">
        <v>1999</v>
      </c>
      <c r="AV439">
        <v>22</v>
      </c>
      <c r="AW439">
        <v>1</v>
      </c>
      <c r="AX439" t="s">
        <v>74</v>
      </c>
      <c r="AY439" t="s">
        <v>74</v>
      </c>
      <c r="AZ439" t="s">
        <v>74</v>
      </c>
      <c r="BA439" t="s">
        <v>74</v>
      </c>
      <c r="BB439">
        <v>7</v>
      </c>
      <c r="BC439">
        <v>12</v>
      </c>
      <c r="BD439" t="s">
        <v>74</v>
      </c>
      <c r="BE439" t="s">
        <v>6000</v>
      </c>
      <c r="BF439" t="str">
        <f>HYPERLINK("http://dx.doi.org/10.1007/s003000050384","http://dx.doi.org/10.1007/s003000050384")</f>
        <v>http://dx.doi.org/10.1007/s003000050384</v>
      </c>
      <c r="BG439" t="s">
        <v>74</v>
      </c>
      <c r="BH439" t="s">
        <v>74</v>
      </c>
      <c r="BI439">
        <v>6</v>
      </c>
      <c r="BJ439" t="s">
        <v>1383</v>
      </c>
      <c r="BK439" t="s">
        <v>96</v>
      </c>
      <c r="BL439" t="s">
        <v>1384</v>
      </c>
      <c r="BM439" t="s">
        <v>5990</v>
      </c>
      <c r="BN439" t="s">
        <v>74</v>
      </c>
      <c r="BO439" t="s">
        <v>74</v>
      </c>
      <c r="BP439" t="s">
        <v>74</v>
      </c>
      <c r="BQ439" t="s">
        <v>74</v>
      </c>
      <c r="BR439" t="s">
        <v>99</v>
      </c>
      <c r="BS439" t="s">
        <v>6001</v>
      </c>
      <c r="BT439" t="str">
        <f>HYPERLINK("https%3A%2F%2Fwww.webofscience.com%2Fwos%2Fwoscc%2Ffull-record%2FWOS:000081302000002","View Full Record in Web of Science")</f>
        <v>View Full Record in Web of Science</v>
      </c>
    </row>
    <row r="440" spans="1:72" x14ac:dyDescent="0.15">
      <c r="A440" t="s">
        <v>72</v>
      </c>
      <c r="B440" t="s">
        <v>6002</v>
      </c>
      <c r="C440" t="s">
        <v>74</v>
      </c>
      <c r="D440" t="s">
        <v>74</v>
      </c>
      <c r="E440" t="s">
        <v>74</v>
      </c>
      <c r="F440" t="s">
        <v>6002</v>
      </c>
      <c r="G440" t="s">
        <v>74</v>
      </c>
      <c r="H440" t="s">
        <v>74</v>
      </c>
      <c r="I440" t="s">
        <v>6003</v>
      </c>
      <c r="J440" t="s">
        <v>1375</v>
      </c>
      <c r="K440" t="s">
        <v>74</v>
      </c>
      <c r="L440" t="s">
        <v>74</v>
      </c>
      <c r="M440" t="s">
        <v>77</v>
      </c>
      <c r="N440" t="s">
        <v>78</v>
      </c>
      <c r="O440" t="s">
        <v>74</v>
      </c>
      <c r="P440" t="s">
        <v>74</v>
      </c>
      <c r="Q440" t="s">
        <v>74</v>
      </c>
      <c r="R440" t="s">
        <v>74</v>
      </c>
      <c r="S440" t="s">
        <v>74</v>
      </c>
      <c r="T440" t="s">
        <v>74</v>
      </c>
      <c r="U440" t="s">
        <v>6004</v>
      </c>
      <c r="V440" t="s">
        <v>6005</v>
      </c>
      <c r="W440" t="s">
        <v>1972</v>
      </c>
      <c r="X440" t="s">
        <v>1973</v>
      </c>
      <c r="Y440" t="s">
        <v>1974</v>
      </c>
      <c r="Z440" t="s">
        <v>1975</v>
      </c>
      <c r="AA440" t="s">
        <v>1976</v>
      </c>
      <c r="AB440" t="s">
        <v>1977</v>
      </c>
      <c r="AC440" t="s">
        <v>74</v>
      </c>
      <c r="AD440" t="s">
        <v>74</v>
      </c>
      <c r="AE440" t="s">
        <v>74</v>
      </c>
      <c r="AF440" t="s">
        <v>74</v>
      </c>
      <c r="AG440">
        <v>56</v>
      </c>
      <c r="AH440">
        <v>80</v>
      </c>
      <c r="AI440">
        <v>86</v>
      </c>
      <c r="AJ440">
        <v>0</v>
      </c>
      <c r="AK440">
        <v>18</v>
      </c>
      <c r="AL440" t="s">
        <v>705</v>
      </c>
      <c r="AM440" t="s">
        <v>554</v>
      </c>
      <c r="AN440" t="s">
        <v>706</v>
      </c>
      <c r="AO440" t="s">
        <v>1379</v>
      </c>
      <c r="AP440" t="s">
        <v>2523</v>
      </c>
      <c r="AQ440" t="s">
        <v>74</v>
      </c>
      <c r="AR440" t="s">
        <v>1380</v>
      </c>
      <c r="AS440" t="s">
        <v>1381</v>
      </c>
      <c r="AT440" t="s">
        <v>5141</v>
      </c>
      <c r="AU440">
        <v>1999</v>
      </c>
      <c r="AV440">
        <v>22</v>
      </c>
      <c r="AW440">
        <v>1</v>
      </c>
      <c r="AX440" t="s">
        <v>74</v>
      </c>
      <c r="AY440" t="s">
        <v>74</v>
      </c>
      <c r="AZ440" t="s">
        <v>74</v>
      </c>
      <c r="BA440" t="s">
        <v>74</v>
      </c>
      <c r="BB440">
        <v>17</v>
      </c>
      <c r="BC440">
        <v>30</v>
      </c>
      <c r="BD440" t="s">
        <v>74</v>
      </c>
      <c r="BE440" t="s">
        <v>6006</v>
      </c>
      <c r="BF440" t="str">
        <f>HYPERLINK("http://dx.doi.org/10.1007/s003000050386","http://dx.doi.org/10.1007/s003000050386")</f>
        <v>http://dx.doi.org/10.1007/s003000050386</v>
      </c>
      <c r="BG440" t="s">
        <v>74</v>
      </c>
      <c r="BH440" t="s">
        <v>74</v>
      </c>
      <c r="BI440">
        <v>14</v>
      </c>
      <c r="BJ440" t="s">
        <v>1383</v>
      </c>
      <c r="BK440" t="s">
        <v>96</v>
      </c>
      <c r="BL440" t="s">
        <v>1384</v>
      </c>
      <c r="BM440" t="s">
        <v>5990</v>
      </c>
      <c r="BN440" t="s">
        <v>74</v>
      </c>
      <c r="BO440" t="s">
        <v>74</v>
      </c>
      <c r="BP440" t="s">
        <v>74</v>
      </c>
      <c r="BQ440" t="s">
        <v>74</v>
      </c>
      <c r="BR440" t="s">
        <v>99</v>
      </c>
      <c r="BS440" t="s">
        <v>6007</v>
      </c>
      <c r="BT440" t="str">
        <f>HYPERLINK("https%3A%2F%2Fwww.webofscience.com%2Fwos%2Fwoscc%2Ffull-record%2FWOS:000081302000004","View Full Record in Web of Science")</f>
        <v>View Full Record in Web of Science</v>
      </c>
    </row>
    <row r="441" spans="1:72" x14ac:dyDescent="0.15">
      <c r="A441" t="s">
        <v>72</v>
      </c>
      <c r="B441" t="s">
        <v>6008</v>
      </c>
      <c r="C441" t="s">
        <v>74</v>
      </c>
      <c r="D441" t="s">
        <v>74</v>
      </c>
      <c r="E441" t="s">
        <v>74</v>
      </c>
      <c r="F441" t="s">
        <v>6008</v>
      </c>
      <c r="G441" t="s">
        <v>74</v>
      </c>
      <c r="H441" t="s">
        <v>74</v>
      </c>
      <c r="I441" t="s">
        <v>6009</v>
      </c>
      <c r="J441" t="s">
        <v>1375</v>
      </c>
      <c r="K441" t="s">
        <v>74</v>
      </c>
      <c r="L441" t="s">
        <v>74</v>
      </c>
      <c r="M441" t="s">
        <v>77</v>
      </c>
      <c r="N441" t="s">
        <v>78</v>
      </c>
      <c r="O441" t="s">
        <v>74</v>
      </c>
      <c r="P441" t="s">
        <v>74</v>
      </c>
      <c r="Q441" t="s">
        <v>74</v>
      </c>
      <c r="R441" t="s">
        <v>74</v>
      </c>
      <c r="S441" t="s">
        <v>74</v>
      </c>
      <c r="T441" t="s">
        <v>74</v>
      </c>
      <c r="U441" t="s">
        <v>6010</v>
      </c>
      <c r="V441" t="s">
        <v>6011</v>
      </c>
      <c r="W441" t="s">
        <v>6012</v>
      </c>
      <c r="X441" t="s">
        <v>6013</v>
      </c>
      <c r="Y441" t="s">
        <v>6014</v>
      </c>
      <c r="Z441" t="s">
        <v>74</v>
      </c>
      <c r="AA441" t="s">
        <v>74</v>
      </c>
      <c r="AB441" t="s">
        <v>74</v>
      </c>
      <c r="AC441" t="s">
        <v>74</v>
      </c>
      <c r="AD441" t="s">
        <v>74</v>
      </c>
      <c r="AE441" t="s">
        <v>74</v>
      </c>
      <c r="AF441" t="s">
        <v>74</v>
      </c>
      <c r="AG441">
        <v>39</v>
      </c>
      <c r="AH441">
        <v>33</v>
      </c>
      <c r="AI441">
        <v>41</v>
      </c>
      <c r="AJ441">
        <v>0</v>
      </c>
      <c r="AK441">
        <v>9</v>
      </c>
      <c r="AL441" t="s">
        <v>553</v>
      </c>
      <c r="AM441" t="s">
        <v>554</v>
      </c>
      <c r="AN441" t="s">
        <v>555</v>
      </c>
      <c r="AO441" t="s">
        <v>1379</v>
      </c>
      <c r="AP441" t="s">
        <v>74</v>
      </c>
      <c r="AQ441" t="s">
        <v>74</v>
      </c>
      <c r="AR441" t="s">
        <v>1380</v>
      </c>
      <c r="AS441" t="s">
        <v>1381</v>
      </c>
      <c r="AT441" t="s">
        <v>5141</v>
      </c>
      <c r="AU441">
        <v>1999</v>
      </c>
      <c r="AV441">
        <v>22</v>
      </c>
      <c r="AW441">
        <v>1</v>
      </c>
      <c r="AX441" t="s">
        <v>74</v>
      </c>
      <c r="AY441" t="s">
        <v>74</v>
      </c>
      <c r="AZ441" t="s">
        <v>74</v>
      </c>
      <c r="BA441" t="s">
        <v>74</v>
      </c>
      <c r="BB441">
        <v>31</v>
      </c>
      <c r="BC441">
        <v>37</v>
      </c>
      <c r="BD441" t="s">
        <v>74</v>
      </c>
      <c r="BE441" t="s">
        <v>74</v>
      </c>
      <c r="BF441" t="s">
        <v>74</v>
      </c>
      <c r="BG441" t="s">
        <v>74</v>
      </c>
      <c r="BH441" t="s">
        <v>74</v>
      </c>
      <c r="BI441">
        <v>7</v>
      </c>
      <c r="BJ441" t="s">
        <v>1383</v>
      </c>
      <c r="BK441" t="s">
        <v>96</v>
      </c>
      <c r="BL441" t="s">
        <v>1384</v>
      </c>
      <c r="BM441" t="s">
        <v>5990</v>
      </c>
      <c r="BN441" t="s">
        <v>74</v>
      </c>
      <c r="BO441" t="s">
        <v>74</v>
      </c>
      <c r="BP441" t="s">
        <v>74</v>
      </c>
      <c r="BQ441" t="s">
        <v>74</v>
      </c>
      <c r="BR441" t="s">
        <v>99</v>
      </c>
      <c r="BS441" t="s">
        <v>6015</v>
      </c>
      <c r="BT441" t="str">
        <f>HYPERLINK("https%3A%2F%2Fwww.webofscience.com%2Fwos%2Fwoscc%2Ffull-record%2FWOS:000081302000005","View Full Record in Web of Science")</f>
        <v>View Full Record in Web of Science</v>
      </c>
    </row>
    <row r="442" spans="1:72" x14ac:dyDescent="0.15">
      <c r="A442" t="s">
        <v>72</v>
      </c>
      <c r="B442" t="s">
        <v>6016</v>
      </c>
      <c r="C442" t="s">
        <v>74</v>
      </c>
      <c r="D442" t="s">
        <v>74</v>
      </c>
      <c r="E442" t="s">
        <v>74</v>
      </c>
      <c r="F442" t="s">
        <v>6016</v>
      </c>
      <c r="G442" t="s">
        <v>74</v>
      </c>
      <c r="H442" t="s">
        <v>74</v>
      </c>
      <c r="I442" t="s">
        <v>6017</v>
      </c>
      <c r="J442" t="s">
        <v>1375</v>
      </c>
      <c r="K442" t="s">
        <v>74</v>
      </c>
      <c r="L442" t="s">
        <v>74</v>
      </c>
      <c r="M442" t="s">
        <v>77</v>
      </c>
      <c r="N442" t="s">
        <v>78</v>
      </c>
      <c r="O442" t="s">
        <v>74</v>
      </c>
      <c r="P442" t="s">
        <v>74</v>
      </c>
      <c r="Q442" t="s">
        <v>74</v>
      </c>
      <c r="R442" t="s">
        <v>74</v>
      </c>
      <c r="S442" t="s">
        <v>74</v>
      </c>
      <c r="T442" t="s">
        <v>74</v>
      </c>
      <c r="U442" t="s">
        <v>6018</v>
      </c>
      <c r="V442" t="s">
        <v>6019</v>
      </c>
      <c r="W442" t="s">
        <v>6020</v>
      </c>
      <c r="X442" t="s">
        <v>5319</v>
      </c>
      <c r="Y442" t="s">
        <v>6021</v>
      </c>
      <c r="Z442" t="s">
        <v>74</v>
      </c>
      <c r="AA442" t="s">
        <v>6022</v>
      </c>
      <c r="AB442" t="s">
        <v>6023</v>
      </c>
      <c r="AC442" t="s">
        <v>74</v>
      </c>
      <c r="AD442" t="s">
        <v>74</v>
      </c>
      <c r="AE442" t="s">
        <v>74</v>
      </c>
      <c r="AF442" t="s">
        <v>74</v>
      </c>
      <c r="AG442">
        <v>35</v>
      </c>
      <c r="AH442">
        <v>26</v>
      </c>
      <c r="AI442">
        <v>30</v>
      </c>
      <c r="AJ442">
        <v>0</v>
      </c>
      <c r="AK442">
        <v>15</v>
      </c>
      <c r="AL442" t="s">
        <v>553</v>
      </c>
      <c r="AM442" t="s">
        <v>554</v>
      </c>
      <c r="AN442" t="s">
        <v>555</v>
      </c>
      <c r="AO442" t="s">
        <v>1379</v>
      </c>
      <c r="AP442" t="s">
        <v>74</v>
      </c>
      <c r="AQ442" t="s">
        <v>74</v>
      </c>
      <c r="AR442" t="s">
        <v>1380</v>
      </c>
      <c r="AS442" t="s">
        <v>1381</v>
      </c>
      <c r="AT442" t="s">
        <v>5141</v>
      </c>
      <c r="AU442">
        <v>1999</v>
      </c>
      <c r="AV442">
        <v>22</v>
      </c>
      <c r="AW442">
        <v>1</v>
      </c>
      <c r="AX442" t="s">
        <v>74</v>
      </c>
      <c r="AY442" t="s">
        <v>74</v>
      </c>
      <c r="AZ442" t="s">
        <v>74</v>
      </c>
      <c r="BA442" t="s">
        <v>74</v>
      </c>
      <c r="BB442">
        <v>50</v>
      </c>
      <c r="BC442">
        <v>55</v>
      </c>
      <c r="BD442" t="s">
        <v>74</v>
      </c>
      <c r="BE442" t="s">
        <v>6024</v>
      </c>
      <c r="BF442" t="str">
        <f>HYPERLINK("http://dx.doi.org/10.1007/s003000050389","http://dx.doi.org/10.1007/s003000050389")</f>
        <v>http://dx.doi.org/10.1007/s003000050389</v>
      </c>
      <c r="BG442" t="s">
        <v>74</v>
      </c>
      <c r="BH442" t="s">
        <v>74</v>
      </c>
      <c r="BI442">
        <v>6</v>
      </c>
      <c r="BJ442" t="s">
        <v>1383</v>
      </c>
      <c r="BK442" t="s">
        <v>96</v>
      </c>
      <c r="BL442" t="s">
        <v>1384</v>
      </c>
      <c r="BM442" t="s">
        <v>5990</v>
      </c>
      <c r="BN442" t="s">
        <v>74</v>
      </c>
      <c r="BO442" t="s">
        <v>74</v>
      </c>
      <c r="BP442" t="s">
        <v>74</v>
      </c>
      <c r="BQ442" t="s">
        <v>74</v>
      </c>
      <c r="BR442" t="s">
        <v>99</v>
      </c>
      <c r="BS442" t="s">
        <v>6025</v>
      </c>
      <c r="BT442" t="str">
        <f>HYPERLINK("https%3A%2F%2Fwww.webofscience.com%2Fwos%2Fwoscc%2Ffull-record%2FWOS:000081302000007","View Full Record in Web of Science")</f>
        <v>View Full Record in Web of Science</v>
      </c>
    </row>
    <row r="443" spans="1:72" x14ac:dyDescent="0.15">
      <c r="A443" t="s">
        <v>72</v>
      </c>
      <c r="B443" t="s">
        <v>6026</v>
      </c>
      <c r="C443" t="s">
        <v>74</v>
      </c>
      <c r="D443" t="s">
        <v>74</v>
      </c>
      <c r="E443" t="s">
        <v>74</v>
      </c>
      <c r="F443" t="s">
        <v>6026</v>
      </c>
      <c r="G443" t="s">
        <v>74</v>
      </c>
      <c r="H443" t="s">
        <v>74</v>
      </c>
      <c r="I443" t="s">
        <v>6027</v>
      </c>
      <c r="J443" t="s">
        <v>6028</v>
      </c>
      <c r="K443" t="s">
        <v>74</v>
      </c>
      <c r="L443" t="s">
        <v>74</v>
      </c>
      <c r="M443" t="s">
        <v>77</v>
      </c>
      <c r="N443" t="s">
        <v>78</v>
      </c>
      <c r="O443" t="s">
        <v>74</v>
      </c>
      <c r="P443" t="s">
        <v>74</v>
      </c>
      <c r="Q443" t="s">
        <v>74</v>
      </c>
      <c r="R443" t="s">
        <v>74</v>
      </c>
      <c r="S443" t="s">
        <v>74</v>
      </c>
      <c r="T443" t="s">
        <v>6029</v>
      </c>
      <c r="U443" t="s">
        <v>6030</v>
      </c>
      <c r="V443" t="s">
        <v>6031</v>
      </c>
      <c r="W443" t="s">
        <v>6032</v>
      </c>
      <c r="X443" t="s">
        <v>6033</v>
      </c>
      <c r="Y443" t="s">
        <v>6034</v>
      </c>
      <c r="Z443" t="s">
        <v>6035</v>
      </c>
      <c r="AA443" t="s">
        <v>74</v>
      </c>
      <c r="AB443" t="s">
        <v>6036</v>
      </c>
      <c r="AC443" t="s">
        <v>74</v>
      </c>
      <c r="AD443" t="s">
        <v>74</v>
      </c>
      <c r="AE443" t="s">
        <v>74</v>
      </c>
      <c r="AF443" t="s">
        <v>74</v>
      </c>
      <c r="AG443">
        <v>27</v>
      </c>
      <c r="AH443">
        <v>46</v>
      </c>
      <c r="AI443">
        <v>51</v>
      </c>
      <c r="AJ443">
        <v>0</v>
      </c>
      <c r="AK443">
        <v>0</v>
      </c>
      <c r="AL443" t="s">
        <v>2057</v>
      </c>
      <c r="AM443" t="s">
        <v>554</v>
      </c>
      <c r="AN443" t="s">
        <v>2997</v>
      </c>
      <c r="AO443" t="s">
        <v>6037</v>
      </c>
      <c r="AP443" t="s">
        <v>6038</v>
      </c>
      <c r="AQ443" t="s">
        <v>74</v>
      </c>
      <c r="AR443" t="s">
        <v>6039</v>
      </c>
      <c r="AS443" t="s">
        <v>6040</v>
      </c>
      <c r="AT443" t="s">
        <v>5141</v>
      </c>
      <c r="AU443">
        <v>1999</v>
      </c>
      <c r="AV443">
        <v>16</v>
      </c>
      <c r="AW443">
        <v>2</v>
      </c>
      <c r="AX443" t="s">
        <v>74</v>
      </c>
      <c r="AY443" t="s">
        <v>74</v>
      </c>
      <c r="AZ443" t="s">
        <v>74</v>
      </c>
      <c r="BA443" t="s">
        <v>74</v>
      </c>
      <c r="BB443">
        <v>167</v>
      </c>
      <c r="BC443">
        <v>174</v>
      </c>
      <c r="BD443" t="s">
        <v>74</v>
      </c>
      <c r="BE443" t="s">
        <v>6041</v>
      </c>
      <c r="BF443" t="str">
        <f>HYPERLINK("http://dx.doi.org/10.1071/AS99167","http://dx.doi.org/10.1071/AS99167")</f>
        <v>http://dx.doi.org/10.1071/AS99167</v>
      </c>
      <c r="BG443" t="s">
        <v>74</v>
      </c>
      <c r="BH443" t="s">
        <v>74</v>
      </c>
      <c r="BI443">
        <v>8</v>
      </c>
      <c r="BJ443" t="s">
        <v>1076</v>
      </c>
      <c r="BK443" t="s">
        <v>96</v>
      </c>
      <c r="BL443" t="s">
        <v>1076</v>
      </c>
      <c r="BM443" t="s">
        <v>6042</v>
      </c>
      <c r="BN443" t="s">
        <v>74</v>
      </c>
      <c r="BO443" t="s">
        <v>200</v>
      </c>
      <c r="BP443" t="s">
        <v>74</v>
      </c>
      <c r="BQ443" t="s">
        <v>74</v>
      </c>
      <c r="BR443" t="s">
        <v>99</v>
      </c>
      <c r="BS443" t="s">
        <v>6043</v>
      </c>
      <c r="BT443" t="str">
        <f>HYPERLINK("https%3A%2F%2Fwww.webofscience.com%2Fwos%2Fwoscc%2Ffull-record%2FWOS:000082267500009","View Full Record in Web of Science")</f>
        <v>View Full Record in Web of Science</v>
      </c>
    </row>
    <row r="444" spans="1:72" x14ac:dyDescent="0.15">
      <c r="A444" t="s">
        <v>72</v>
      </c>
      <c r="B444" t="s">
        <v>6044</v>
      </c>
      <c r="C444" t="s">
        <v>74</v>
      </c>
      <c r="D444" t="s">
        <v>74</v>
      </c>
      <c r="E444" t="s">
        <v>74</v>
      </c>
      <c r="F444" t="s">
        <v>6044</v>
      </c>
      <c r="G444" t="s">
        <v>74</v>
      </c>
      <c r="H444" t="s">
        <v>74</v>
      </c>
      <c r="I444" t="s">
        <v>6045</v>
      </c>
      <c r="J444" t="s">
        <v>6046</v>
      </c>
      <c r="K444" t="s">
        <v>74</v>
      </c>
      <c r="L444" t="s">
        <v>74</v>
      </c>
      <c r="M444" t="s">
        <v>77</v>
      </c>
      <c r="N444" t="s">
        <v>254</v>
      </c>
      <c r="O444" t="s">
        <v>74</v>
      </c>
      <c r="P444" t="s">
        <v>74</v>
      </c>
      <c r="Q444" t="s">
        <v>74</v>
      </c>
      <c r="R444" t="s">
        <v>74</v>
      </c>
      <c r="S444" t="s">
        <v>74</v>
      </c>
      <c r="T444" t="s">
        <v>74</v>
      </c>
      <c r="U444" t="s">
        <v>6047</v>
      </c>
      <c r="V444" t="s">
        <v>6048</v>
      </c>
      <c r="W444" t="s">
        <v>6049</v>
      </c>
      <c r="X444" t="s">
        <v>6050</v>
      </c>
      <c r="Y444" t="s">
        <v>6051</v>
      </c>
      <c r="Z444" t="s">
        <v>74</v>
      </c>
      <c r="AA444" t="s">
        <v>74</v>
      </c>
      <c r="AB444" t="s">
        <v>74</v>
      </c>
      <c r="AC444" t="s">
        <v>74</v>
      </c>
      <c r="AD444" t="s">
        <v>74</v>
      </c>
      <c r="AE444" t="s">
        <v>74</v>
      </c>
      <c r="AF444" t="s">
        <v>74</v>
      </c>
      <c r="AG444">
        <v>180</v>
      </c>
      <c r="AH444">
        <v>46</v>
      </c>
      <c r="AI444">
        <v>54</v>
      </c>
      <c r="AJ444">
        <v>2</v>
      </c>
      <c r="AK444">
        <v>31</v>
      </c>
      <c r="AL444" t="s">
        <v>5252</v>
      </c>
      <c r="AM444" t="s">
        <v>2206</v>
      </c>
      <c r="AN444" t="s">
        <v>5253</v>
      </c>
      <c r="AO444" t="s">
        <v>6052</v>
      </c>
      <c r="AP444" t="s">
        <v>6053</v>
      </c>
      <c r="AQ444" t="s">
        <v>74</v>
      </c>
      <c r="AR444" t="s">
        <v>6054</v>
      </c>
      <c r="AS444" t="s">
        <v>6055</v>
      </c>
      <c r="AT444" t="s">
        <v>5141</v>
      </c>
      <c r="AU444">
        <v>1999</v>
      </c>
      <c r="AV444">
        <v>71</v>
      </c>
      <c r="AW444">
        <v>7</v>
      </c>
      <c r="AX444" t="s">
        <v>74</v>
      </c>
      <c r="AY444" t="s">
        <v>74</v>
      </c>
      <c r="AZ444" t="s">
        <v>74</v>
      </c>
      <c r="BA444" t="s">
        <v>74</v>
      </c>
      <c r="BB444">
        <v>1359</v>
      </c>
      <c r="BC444">
        <v>1383</v>
      </c>
      <c r="BD444" t="s">
        <v>74</v>
      </c>
      <c r="BE444" t="s">
        <v>6056</v>
      </c>
      <c r="BF444" t="str">
        <f>HYPERLINK("http://dx.doi.org/10.1351/pac199971071359","http://dx.doi.org/10.1351/pac199971071359")</f>
        <v>http://dx.doi.org/10.1351/pac199971071359</v>
      </c>
      <c r="BG444" t="s">
        <v>74</v>
      </c>
      <c r="BH444" t="s">
        <v>74</v>
      </c>
      <c r="BI444">
        <v>25</v>
      </c>
      <c r="BJ444" t="s">
        <v>2973</v>
      </c>
      <c r="BK444" t="s">
        <v>96</v>
      </c>
      <c r="BL444" t="s">
        <v>285</v>
      </c>
      <c r="BM444" t="s">
        <v>6057</v>
      </c>
      <c r="BN444" t="s">
        <v>74</v>
      </c>
      <c r="BO444" t="s">
        <v>250</v>
      </c>
      <c r="BP444" t="s">
        <v>74</v>
      </c>
      <c r="BQ444" t="s">
        <v>74</v>
      </c>
      <c r="BR444" t="s">
        <v>99</v>
      </c>
      <c r="BS444" t="s">
        <v>6058</v>
      </c>
      <c r="BT444" t="str">
        <f>HYPERLINK("https%3A%2F%2Fwww.webofscience.com%2Fwos%2Fwoscc%2Ffull-record%2FWOS:000083690400019","View Full Record in Web of Science")</f>
        <v>View Full Record in Web of Science</v>
      </c>
    </row>
    <row r="445" spans="1:72" x14ac:dyDescent="0.15">
      <c r="A445" t="s">
        <v>72</v>
      </c>
      <c r="B445" t="s">
        <v>6059</v>
      </c>
      <c r="C445" t="s">
        <v>74</v>
      </c>
      <c r="D445" t="s">
        <v>74</v>
      </c>
      <c r="E445" t="s">
        <v>74</v>
      </c>
      <c r="F445" t="s">
        <v>6059</v>
      </c>
      <c r="G445" t="s">
        <v>74</v>
      </c>
      <c r="H445" t="s">
        <v>74</v>
      </c>
      <c r="I445" t="s">
        <v>6060</v>
      </c>
      <c r="J445" t="s">
        <v>6061</v>
      </c>
      <c r="K445" t="s">
        <v>74</v>
      </c>
      <c r="L445" t="s">
        <v>74</v>
      </c>
      <c r="M445" t="s">
        <v>77</v>
      </c>
      <c r="N445" t="s">
        <v>78</v>
      </c>
      <c r="O445" t="s">
        <v>74</v>
      </c>
      <c r="P445" t="s">
        <v>74</v>
      </c>
      <c r="Q445" t="s">
        <v>74</v>
      </c>
      <c r="R445" t="s">
        <v>74</v>
      </c>
      <c r="S445" t="s">
        <v>74</v>
      </c>
      <c r="T445" t="s">
        <v>6062</v>
      </c>
      <c r="U445" t="s">
        <v>6063</v>
      </c>
      <c r="V445" t="s">
        <v>6064</v>
      </c>
      <c r="W445" t="s">
        <v>6065</v>
      </c>
      <c r="X445" t="s">
        <v>6066</v>
      </c>
      <c r="Y445" t="s">
        <v>6067</v>
      </c>
      <c r="Z445" t="s">
        <v>74</v>
      </c>
      <c r="AA445" t="s">
        <v>6068</v>
      </c>
      <c r="AB445" t="s">
        <v>6069</v>
      </c>
      <c r="AC445" t="s">
        <v>74</v>
      </c>
      <c r="AD445" t="s">
        <v>74</v>
      </c>
      <c r="AE445" t="s">
        <v>74</v>
      </c>
      <c r="AF445" t="s">
        <v>74</v>
      </c>
      <c r="AG445">
        <v>42</v>
      </c>
      <c r="AH445">
        <v>5</v>
      </c>
      <c r="AI445">
        <v>5</v>
      </c>
      <c r="AJ445">
        <v>0</v>
      </c>
      <c r="AK445">
        <v>4</v>
      </c>
      <c r="AL445" t="s">
        <v>6070</v>
      </c>
      <c r="AM445" t="s">
        <v>6071</v>
      </c>
      <c r="AN445" t="s">
        <v>6072</v>
      </c>
      <c r="AO445" t="s">
        <v>6073</v>
      </c>
      <c r="AP445" t="s">
        <v>74</v>
      </c>
      <c r="AQ445" t="s">
        <v>74</v>
      </c>
      <c r="AR445" t="s">
        <v>6074</v>
      </c>
      <c r="AS445" t="s">
        <v>6075</v>
      </c>
      <c r="AT445" t="s">
        <v>5141</v>
      </c>
      <c r="AU445">
        <v>1999</v>
      </c>
      <c r="AV445">
        <v>125</v>
      </c>
      <c r="AW445">
        <v>558</v>
      </c>
      <c r="AX445" t="s">
        <v>1157</v>
      </c>
      <c r="AY445" t="s">
        <v>74</v>
      </c>
      <c r="AZ445" t="s">
        <v>74</v>
      </c>
      <c r="BA445" t="s">
        <v>74</v>
      </c>
      <c r="BB445">
        <v>2171</v>
      </c>
      <c r="BC445">
        <v>2203</v>
      </c>
      <c r="BD445" t="s">
        <v>74</v>
      </c>
      <c r="BE445" t="s">
        <v>6076</v>
      </c>
      <c r="BF445" t="str">
        <f>HYPERLINK("http://dx.doi.org/10.1256/smsqj.55811","http://dx.doi.org/10.1256/smsqj.55811")</f>
        <v>http://dx.doi.org/10.1256/smsqj.55811</v>
      </c>
      <c r="BG445" t="s">
        <v>74</v>
      </c>
      <c r="BH445" t="s">
        <v>74</v>
      </c>
      <c r="BI445">
        <v>33</v>
      </c>
      <c r="BJ445" t="s">
        <v>95</v>
      </c>
      <c r="BK445" t="s">
        <v>96</v>
      </c>
      <c r="BL445" t="s">
        <v>95</v>
      </c>
      <c r="BM445" t="s">
        <v>6077</v>
      </c>
      <c r="BN445" t="s">
        <v>74</v>
      </c>
      <c r="BO445" t="s">
        <v>74</v>
      </c>
      <c r="BP445" t="s">
        <v>74</v>
      </c>
      <c r="BQ445" t="s">
        <v>74</v>
      </c>
      <c r="BR445" t="s">
        <v>99</v>
      </c>
      <c r="BS445" t="s">
        <v>6078</v>
      </c>
      <c r="BT445" t="str">
        <f>HYPERLINK("https%3A%2F%2Fwww.webofscience.com%2Fwos%2Fwoscc%2Ffull-record%2FWOS:000082254800011","View Full Record in Web of Science")</f>
        <v>View Full Record in Web of Science</v>
      </c>
    </row>
    <row r="446" spans="1:72" x14ac:dyDescent="0.15">
      <c r="A446" t="s">
        <v>72</v>
      </c>
      <c r="B446" t="s">
        <v>2274</v>
      </c>
      <c r="C446" t="s">
        <v>74</v>
      </c>
      <c r="D446" t="s">
        <v>74</v>
      </c>
      <c r="E446" t="s">
        <v>74</v>
      </c>
      <c r="F446" t="s">
        <v>2274</v>
      </c>
      <c r="G446" t="s">
        <v>74</v>
      </c>
      <c r="H446" t="s">
        <v>74</v>
      </c>
      <c r="I446" t="s">
        <v>6079</v>
      </c>
      <c r="J446" t="s">
        <v>3835</v>
      </c>
      <c r="K446" t="s">
        <v>74</v>
      </c>
      <c r="L446" t="s">
        <v>74</v>
      </c>
      <c r="M446" t="s">
        <v>77</v>
      </c>
      <c r="N446" t="s">
        <v>78</v>
      </c>
      <c r="O446" t="s">
        <v>74</v>
      </c>
      <c r="P446" t="s">
        <v>74</v>
      </c>
      <c r="Q446" t="s">
        <v>74</v>
      </c>
      <c r="R446" t="s">
        <v>74</v>
      </c>
      <c r="S446" t="s">
        <v>74</v>
      </c>
      <c r="T446" t="s">
        <v>74</v>
      </c>
      <c r="U446" t="s">
        <v>6080</v>
      </c>
      <c r="V446" t="s">
        <v>6081</v>
      </c>
      <c r="W446" t="s">
        <v>6082</v>
      </c>
      <c r="X446" t="s">
        <v>6083</v>
      </c>
      <c r="Y446" t="s">
        <v>6084</v>
      </c>
      <c r="Z446" t="s">
        <v>6085</v>
      </c>
      <c r="AA446" t="s">
        <v>74</v>
      </c>
      <c r="AB446" t="s">
        <v>74</v>
      </c>
      <c r="AC446" t="s">
        <v>74</v>
      </c>
      <c r="AD446" t="s">
        <v>74</v>
      </c>
      <c r="AE446" t="s">
        <v>74</v>
      </c>
      <c r="AF446" t="s">
        <v>74</v>
      </c>
      <c r="AG446">
        <v>24</v>
      </c>
      <c r="AH446">
        <v>8</v>
      </c>
      <c r="AI446">
        <v>8</v>
      </c>
      <c r="AJ446">
        <v>0</v>
      </c>
      <c r="AK446">
        <v>1</v>
      </c>
      <c r="AL446" t="s">
        <v>230</v>
      </c>
      <c r="AM446" t="s">
        <v>231</v>
      </c>
      <c r="AN446" t="s">
        <v>232</v>
      </c>
      <c r="AO446" t="s">
        <v>3841</v>
      </c>
      <c r="AP446" t="s">
        <v>6086</v>
      </c>
      <c r="AQ446" t="s">
        <v>74</v>
      </c>
      <c r="AR446" t="s">
        <v>3842</v>
      </c>
      <c r="AS446" t="s">
        <v>3843</v>
      </c>
      <c r="AT446" t="s">
        <v>5173</v>
      </c>
      <c r="AU446">
        <v>1999</v>
      </c>
      <c r="AV446">
        <v>34</v>
      </c>
      <c r="AW446">
        <v>4</v>
      </c>
      <c r="AX446" t="s">
        <v>74</v>
      </c>
      <c r="AY446" t="s">
        <v>74</v>
      </c>
      <c r="AZ446" t="s">
        <v>74</v>
      </c>
      <c r="BA446" t="s">
        <v>74</v>
      </c>
      <c r="BB446">
        <v>899</v>
      </c>
      <c r="BC446">
        <v>912</v>
      </c>
      <c r="BD446" t="s">
        <v>74</v>
      </c>
      <c r="BE446" t="s">
        <v>6087</v>
      </c>
      <c r="BF446" t="str">
        <f>HYPERLINK("http://dx.doi.org/10.1029/1999RS900029","http://dx.doi.org/10.1029/1999RS900029")</f>
        <v>http://dx.doi.org/10.1029/1999RS900029</v>
      </c>
      <c r="BG446" t="s">
        <v>74</v>
      </c>
      <c r="BH446" t="s">
        <v>74</v>
      </c>
      <c r="BI446">
        <v>14</v>
      </c>
      <c r="BJ446" t="s">
        <v>3845</v>
      </c>
      <c r="BK446" t="s">
        <v>96</v>
      </c>
      <c r="BL446" t="s">
        <v>3845</v>
      </c>
      <c r="BM446" t="s">
        <v>6088</v>
      </c>
      <c r="BN446" t="s">
        <v>74</v>
      </c>
      <c r="BO446" t="s">
        <v>74</v>
      </c>
      <c r="BP446" t="s">
        <v>74</v>
      </c>
      <c r="BQ446" t="s">
        <v>74</v>
      </c>
      <c r="BR446" t="s">
        <v>99</v>
      </c>
      <c r="BS446" t="s">
        <v>6089</v>
      </c>
      <c r="BT446" t="str">
        <f>HYPERLINK("https%3A%2F%2Fwww.webofscience.com%2Fwos%2Fwoscc%2Ffull-record%2FWOS:000081627300011","View Full Record in Web of Science")</f>
        <v>View Full Record in Web of Science</v>
      </c>
    </row>
    <row r="447" spans="1:72" x14ac:dyDescent="0.15">
      <c r="A447" t="s">
        <v>72</v>
      </c>
      <c r="B447" t="s">
        <v>6090</v>
      </c>
      <c r="C447" t="s">
        <v>74</v>
      </c>
      <c r="D447" t="s">
        <v>74</v>
      </c>
      <c r="E447" t="s">
        <v>74</v>
      </c>
      <c r="F447" t="s">
        <v>6090</v>
      </c>
      <c r="G447" t="s">
        <v>74</v>
      </c>
      <c r="H447" t="s">
        <v>74</v>
      </c>
      <c r="I447" t="s">
        <v>6091</v>
      </c>
      <c r="J447" t="s">
        <v>3835</v>
      </c>
      <c r="K447" t="s">
        <v>74</v>
      </c>
      <c r="L447" t="s">
        <v>74</v>
      </c>
      <c r="M447" t="s">
        <v>77</v>
      </c>
      <c r="N447" t="s">
        <v>78</v>
      </c>
      <c r="O447" t="s">
        <v>74</v>
      </c>
      <c r="P447" t="s">
        <v>74</v>
      </c>
      <c r="Q447" t="s">
        <v>74</v>
      </c>
      <c r="R447" t="s">
        <v>74</v>
      </c>
      <c r="S447" t="s">
        <v>74</v>
      </c>
      <c r="T447" t="s">
        <v>74</v>
      </c>
      <c r="U447" t="s">
        <v>6092</v>
      </c>
      <c r="V447" t="s">
        <v>6093</v>
      </c>
      <c r="W447" t="s">
        <v>6094</v>
      </c>
      <c r="X447" t="s">
        <v>3839</v>
      </c>
      <c r="Y447" t="s">
        <v>6095</v>
      </c>
      <c r="Z447" t="s">
        <v>6096</v>
      </c>
      <c r="AA447" t="s">
        <v>945</v>
      </c>
      <c r="AB447" t="s">
        <v>946</v>
      </c>
      <c r="AC447" t="s">
        <v>74</v>
      </c>
      <c r="AD447" t="s">
        <v>74</v>
      </c>
      <c r="AE447" t="s">
        <v>74</v>
      </c>
      <c r="AF447" t="s">
        <v>74</v>
      </c>
      <c r="AG447">
        <v>35</v>
      </c>
      <c r="AH447">
        <v>14</v>
      </c>
      <c r="AI447">
        <v>16</v>
      </c>
      <c r="AJ447">
        <v>0</v>
      </c>
      <c r="AK447">
        <v>1</v>
      </c>
      <c r="AL447" t="s">
        <v>230</v>
      </c>
      <c r="AM447" t="s">
        <v>231</v>
      </c>
      <c r="AN447" t="s">
        <v>232</v>
      </c>
      <c r="AO447" t="s">
        <v>3841</v>
      </c>
      <c r="AP447" t="s">
        <v>6086</v>
      </c>
      <c r="AQ447" t="s">
        <v>74</v>
      </c>
      <c r="AR447" t="s">
        <v>3842</v>
      </c>
      <c r="AS447" t="s">
        <v>3843</v>
      </c>
      <c r="AT447" t="s">
        <v>5173</v>
      </c>
      <c r="AU447">
        <v>1999</v>
      </c>
      <c r="AV447">
        <v>34</v>
      </c>
      <c r="AW447">
        <v>4</v>
      </c>
      <c r="AX447" t="s">
        <v>74</v>
      </c>
      <c r="AY447" t="s">
        <v>74</v>
      </c>
      <c r="AZ447" t="s">
        <v>74</v>
      </c>
      <c r="BA447" t="s">
        <v>74</v>
      </c>
      <c r="BB447">
        <v>913</v>
      </c>
      <c r="BC447">
        <v>921</v>
      </c>
      <c r="BD447" t="s">
        <v>74</v>
      </c>
      <c r="BE447" t="s">
        <v>6097</v>
      </c>
      <c r="BF447" t="str">
        <f>HYPERLINK("http://dx.doi.org/10.1029/1999RS900051","http://dx.doi.org/10.1029/1999RS900051")</f>
        <v>http://dx.doi.org/10.1029/1999RS900051</v>
      </c>
      <c r="BG447" t="s">
        <v>74</v>
      </c>
      <c r="BH447" t="s">
        <v>74</v>
      </c>
      <c r="BI447">
        <v>9</v>
      </c>
      <c r="BJ447" t="s">
        <v>3845</v>
      </c>
      <c r="BK447" t="s">
        <v>96</v>
      </c>
      <c r="BL447" t="s">
        <v>3845</v>
      </c>
      <c r="BM447" t="s">
        <v>6088</v>
      </c>
      <c r="BN447" t="s">
        <v>74</v>
      </c>
      <c r="BO447" t="s">
        <v>74</v>
      </c>
      <c r="BP447" t="s">
        <v>74</v>
      </c>
      <c r="BQ447" t="s">
        <v>74</v>
      </c>
      <c r="BR447" t="s">
        <v>99</v>
      </c>
      <c r="BS447" t="s">
        <v>6098</v>
      </c>
      <c r="BT447" t="str">
        <f>HYPERLINK("https%3A%2F%2Fwww.webofscience.com%2Fwos%2Fwoscc%2Ffull-record%2FWOS:000081627300012","View Full Record in Web of Science")</f>
        <v>View Full Record in Web of Science</v>
      </c>
    </row>
    <row r="448" spans="1:72" x14ac:dyDescent="0.15">
      <c r="A448" t="s">
        <v>72</v>
      </c>
      <c r="B448" t="s">
        <v>6099</v>
      </c>
      <c r="C448" t="s">
        <v>74</v>
      </c>
      <c r="D448" t="s">
        <v>74</v>
      </c>
      <c r="E448" t="s">
        <v>74</v>
      </c>
      <c r="F448" t="s">
        <v>6099</v>
      </c>
      <c r="G448" t="s">
        <v>74</v>
      </c>
      <c r="H448" t="s">
        <v>74</v>
      </c>
      <c r="I448" t="s">
        <v>6100</v>
      </c>
      <c r="J448" t="s">
        <v>3835</v>
      </c>
      <c r="K448" t="s">
        <v>74</v>
      </c>
      <c r="L448" t="s">
        <v>74</v>
      </c>
      <c r="M448" t="s">
        <v>77</v>
      </c>
      <c r="N448" t="s">
        <v>78</v>
      </c>
      <c r="O448" t="s">
        <v>74</v>
      </c>
      <c r="P448" t="s">
        <v>74</v>
      </c>
      <c r="Q448" t="s">
        <v>74</v>
      </c>
      <c r="R448" t="s">
        <v>74</v>
      </c>
      <c r="S448" t="s">
        <v>74</v>
      </c>
      <c r="T448" t="s">
        <v>74</v>
      </c>
      <c r="U448" t="s">
        <v>6101</v>
      </c>
      <c r="V448" t="s">
        <v>6102</v>
      </c>
      <c r="W448" t="s">
        <v>6103</v>
      </c>
      <c r="X448" t="s">
        <v>3530</v>
      </c>
      <c r="Y448" t="s">
        <v>6104</v>
      </c>
      <c r="Z448" t="s">
        <v>6105</v>
      </c>
      <c r="AA448" t="s">
        <v>945</v>
      </c>
      <c r="AB448" t="s">
        <v>946</v>
      </c>
      <c r="AC448" t="s">
        <v>74</v>
      </c>
      <c r="AD448" t="s">
        <v>74</v>
      </c>
      <c r="AE448" t="s">
        <v>74</v>
      </c>
      <c r="AF448" t="s">
        <v>74</v>
      </c>
      <c r="AG448">
        <v>32</v>
      </c>
      <c r="AH448">
        <v>14</v>
      </c>
      <c r="AI448">
        <v>17</v>
      </c>
      <c r="AJ448">
        <v>0</v>
      </c>
      <c r="AK448">
        <v>2</v>
      </c>
      <c r="AL448" t="s">
        <v>230</v>
      </c>
      <c r="AM448" t="s">
        <v>231</v>
      </c>
      <c r="AN448" t="s">
        <v>232</v>
      </c>
      <c r="AO448" t="s">
        <v>3841</v>
      </c>
      <c r="AP448" t="s">
        <v>6086</v>
      </c>
      <c r="AQ448" t="s">
        <v>74</v>
      </c>
      <c r="AR448" t="s">
        <v>3842</v>
      </c>
      <c r="AS448" t="s">
        <v>3843</v>
      </c>
      <c r="AT448" t="s">
        <v>5173</v>
      </c>
      <c r="AU448">
        <v>1999</v>
      </c>
      <c r="AV448">
        <v>34</v>
      </c>
      <c r="AW448">
        <v>4</v>
      </c>
      <c r="AX448" t="s">
        <v>74</v>
      </c>
      <c r="AY448" t="s">
        <v>74</v>
      </c>
      <c r="AZ448" t="s">
        <v>74</v>
      </c>
      <c r="BA448" t="s">
        <v>74</v>
      </c>
      <c r="BB448">
        <v>923</v>
      </c>
      <c r="BC448">
        <v>932</v>
      </c>
      <c r="BD448" t="s">
        <v>74</v>
      </c>
      <c r="BE448" t="s">
        <v>6106</v>
      </c>
      <c r="BF448" t="str">
        <f>HYPERLINK("http://dx.doi.org/10.1029/1999RS900040","http://dx.doi.org/10.1029/1999RS900040")</f>
        <v>http://dx.doi.org/10.1029/1999RS900040</v>
      </c>
      <c r="BG448" t="s">
        <v>74</v>
      </c>
      <c r="BH448" t="s">
        <v>74</v>
      </c>
      <c r="BI448">
        <v>10</v>
      </c>
      <c r="BJ448" t="s">
        <v>3845</v>
      </c>
      <c r="BK448" t="s">
        <v>96</v>
      </c>
      <c r="BL448" t="s">
        <v>3845</v>
      </c>
      <c r="BM448" t="s">
        <v>6088</v>
      </c>
      <c r="BN448" t="s">
        <v>74</v>
      </c>
      <c r="BO448" t="s">
        <v>74</v>
      </c>
      <c r="BP448" t="s">
        <v>74</v>
      </c>
      <c r="BQ448" t="s">
        <v>74</v>
      </c>
      <c r="BR448" t="s">
        <v>99</v>
      </c>
      <c r="BS448" t="s">
        <v>6107</v>
      </c>
      <c r="BT448" t="str">
        <f>HYPERLINK("https%3A%2F%2Fwww.webofscience.com%2Fwos%2Fwoscc%2Ffull-record%2FWOS:000081627300013","View Full Record in Web of Science")</f>
        <v>View Full Record in Web of Science</v>
      </c>
    </row>
    <row r="449" spans="1:72" x14ac:dyDescent="0.15">
      <c r="A449" t="s">
        <v>72</v>
      </c>
      <c r="B449" t="s">
        <v>6108</v>
      </c>
      <c r="C449" t="s">
        <v>74</v>
      </c>
      <c r="D449" t="s">
        <v>74</v>
      </c>
      <c r="E449" t="s">
        <v>74</v>
      </c>
      <c r="F449" t="s">
        <v>6108</v>
      </c>
      <c r="G449" t="s">
        <v>74</v>
      </c>
      <c r="H449" t="s">
        <v>74</v>
      </c>
      <c r="I449" t="s">
        <v>6109</v>
      </c>
      <c r="J449" t="s">
        <v>3835</v>
      </c>
      <c r="K449" t="s">
        <v>74</v>
      </c>
      <c r="L449" t="s">
        <v>74</v>
      </c>
      <c r="M449" t="s">
        <v>77</v>
      </c>
      <c r="N449" t="s">
        <v>78</v>
      </c>
      <c r="O449" t="s">
        <v>74</v>
      </c>
      <c r="P449" t="s">
        <v>74</v>
      </c>
      <c r="Q449" t="s">
        <v>74</v>
      </c>
      <c r="R449" t="s">
        <v>74</v>
      </c>
      <c r="S449" t="s">
        <v>74</v>
      </c>
      <c r="T449" t="s">
        <v>74</v>
      </c>
      <c r="U449" t="s">
        <v>6110</v>
      </c>
      <c r="V449" t="s">
        <v>6111</v>
      </c>
      <c r="W449" t="s">
        <v>6112</v>
      </c>
      <c r="X449" t="s">
        <v>4649</v>
      </c>
      <c r="Y449" t="s">
        <v>6113</v>
      </c>
      <c r="Z449" t="s">
        <v>74</v>
      </c>
      <c r="AA449" t="s">
        <v>6114</v>
      </c>
      <c r="AB449" t="s">
        <v>6115</v>
      </c>
      <c r="AC449" t="s">
        <v>74</v>
      </c>
      <c r="AD449" t="s">
        <v>74</v>
      </c>
      <c r="AE449" t="s">
        <v>74</v>
      </c>
      <c r="AF449" t="s">
        <v>74</v>
      </c>
      <c r="AG449">
        <v>18</v>
      </c>
      <c r="AH449">
        <v>9</v>
      </c>
      <c r="AI449">
        <v>10</v>
      </c>
      <c r="AJ449">
        <v>0</v>
      </c>
      <c r="AK449">
        <v>2</v>
      </c>
      <c r="AL449" t="s">
        <v>230</v>
      </c>
      <c r="AM449" t="s">
        <v>231</v>
      </c>
      <c r="AN449" t="s">
        <v>232</v>
      </c>
      <c r="AO449" t="s">
        <v>3841</v>
      </c>
      <c r="AP449" t="s">
        <v>74</v>
      </c>
      <c r="AQ449" t="s">
        <v>74</v>
      </c>
      <c r="AR449" t="s">
        <v>3842</v>
      </c>
      <c r="AS449" t="s">
        <v>3843</v>
      </c>
      <c r="AT449" t="s">
        <v>5173</v>
      </c>
      <c r="AU449">
        <v>1999</v>
      </c>
      <c r="AV449">
        <v>34</v>
      </c>
      <c r="AW449">
        <v>4</v>
      </c>
      <c r="AX449" t="s">
        <v>74</v>
      </c>
      <c r="AY449" t="s">
        <v>74</v>
      </c>
      <c r="AZ449" t="s">
        <v>74</v>
      </c>
      <c r="BA449" t="s">
        <v>74</v>
      </c>
      <c r="BB449">
        <v>933</v>
      </c>
      <c r="BC449">
        <v>938</v>
      </c>
      <c r="BD449" t="s">
        <v>74</v>
      </c>
      <c r="BE449" t="s">
        <v>6116</v>
      </c>
      <c r="BF449" t="str">
        <f>HYPERLINK("http://dx.doi.org/10.1029/1999RS900009","http://dx.doi.org/10.1029/1999RS900009")</f>
        <v>http://dx.doi.org/10.1029/1999RS900009</v>
      </c>
      <c r="BG449" t="s">
        <v>74</v>
      </c>
      <c r="BH449" t="s">
        <v>74</v>
      </c>
      <c r="BI449">
        <v>6</v>
      </c>
      <c r="BJ449" t="s">
        <v>3845</v>
      </c>
      <c r="BK449" t="s">
        <v>96</v>
      </c>
      <c r="BL449" t="s">
        <v>3845</v>
      </c>
      <c r="BM449" t="s">
        <v>6088</v>
      </c>
      <c r="BN449" t="s">
        <v>74</v>
      </c>
      <c r="BO449" t="s">
        <v>250</v>
      </c>
      <c r="BP449" t="s">
        <v>74</v>
      </c>
      <c r="BQ449" t="s">
        <v>74</v>
      </c>
      <c r="BR449" t="s">
        <v>99</v>
      </c>
      <c r="BS449" t="s">
        <v>6117</v>
      </c>
      <c r="BT449" t="str">
        <f>HYPERLINK("https%3A%2F%2Fwww.webofscience.com%2Fwos%2Fwoscc%2Ffull-record%2FWOS:000081627300014","View Full Record in Web of Science")</f>
        <v>View Full Record in Web of Science</v>
      </c>
    </row>
    <row r="450" spans="1:72" x14ac:dyDescent="0.15">
      <c r="A450" t="s">
        <v>72</v>
      </c>
      <c r="B450" t="s">
        <v>6118</v>
      </c>
      <c r="C450" t="s">
        <v>74</v>
      </c>
      <c r="D450" t="s">
        <v>74</v>
      </c>
      <c r="E450" t="s">
        <v>74</v>
      </c>
      <c r="F450" t="s">
        <v>6118</v>
      </c>
      <c r="G450" t="s">
        <v>74</v>
      </c>
      <c r="H450" t="s">
        <v>74</v>
      </c>
      <c r="I450" t="s">
        <v>6119</v>
      </c>
      <c r="J450" t="s">
        <v>3835</v>
      </c>
      <c r="K450" t="s">
        <v>74</v>
      </c>
      <c r="L450" t="s">
        <v>74</v>
      </c>
      <c r="M450" t="s">
        <v>77</v>
      </c>
      <c r="N450" t="s">
        <v>78</v>
      </c>
      <c r="O450" t="s">
        <v>74</v>
      </c>
      <c r="P450" t="s">
        <v>74</v>
      </c>
      <c r="Q450" t="s">
        <v>74</v>
      </c>
      <c r="R450" t="s">
        <v>74</v>
      </c>
      <c r="S450" t="s">
        <v>74</v>
      </c>
      <c r="T450" t="s">
        <v>74</v>
      </c>
      <c r="U450" t="s">
        <v>74</v>
      </c>
      <c r="V450" t="s">
        <v>6120</v>
      </c>
      <c r="W450" t="s">
        <v>6121</v>
      </c>
      <c r="X450" t="s">
        <v>3839</v>
      </c>
      <c r="Y450" t="s">
        <v>6122</v>
      </c>
      <c r="Z450" t="s">
        <v>74</v>
      </c>
      <c r="AA450" t="s">
        <v>945</v>
      </c>
      <c r="AB450" t="s">
        <v>946</v>
      </c>
      <c r="AC450" t="s">
        <v>74</v>
      </c>
      <c r="AD450" t="s">
        <v>74</v>
      </c>
      <c r="AE450" t="s">
        <v>74</v>
      </c>
      <c r="AF450" t="s">
        <v>74</v>
      </c>
      <c r="AG450">
        <v>18</v>
      </c>
      <c r="AH450">
        <v>60</v>
      </c>
      <c r="AI450">
        <v>62</v>
      </c>
      <c r="AJ450">
        <v>1</v>
      </c>
      <c r="AK450">
        <v>6</v>
      </c>
      <c r="AL450" t="s">
        <v>230</v>
      </c>
      <c r="AM450" t="s">
        <v>231</v>
      </c>
      <c r="AN450" t="s">
        <v>232</v>
      </c>
      <c r="AO450" t="s">
        <v>3841</v>
      </c>
      <c r="AP450" t="s">
        <v>74</v>
      </c>
      <c r="AQ450" t="s">
        <v>74</v>
      </c>
      <c r="AR450" t="s">
        <v>3842</v>
      </c>
      <c r="AS450" t="s">
        <v>3843</v>
      </c>
      <c r="AT450" t="s">
        <v>5173</v>
      </c>
      <c r="AU450">
        <v>1999</v>
      </c>
      <c r="AV450">
        <v>34</v>
      </c>
      <c r="AW450">
        <v>4</v>
      </c>
      <c r="AX450" t="s">
        <v>74</v>
      </c>
      <c r="AY450" t="s">
        <v>74</v>
      </c>
      <c r="AZ450" t="s">
        <v>74</v>
      </c>
      <c r="BA450" t="s">
        <v>74</v>
      </c>
      <c r="BB450">
        <v>939</v>
      </c>
      <c r="BC450">
        <v>948</v>
      </c>
      <c r="BD450" t="s">
        <v>74</v>
      </c>
      <c r="BE450" t="s">
        <v>6123</v>
      </c>
      <c r="BF450" t="str">
        <f>HYPERLINK("http://dx.doi.org/10.1029/1999RS900052","http://dx.doi.org/10.1029/1999RS900052")</f>
        <v>http://dx.doi.org/10.1029/1999RS900052</v>
      </c>
      <c r="BG450" t="s">
        <v>74</v>
      </c>
      <c r="BH450" t="s">
        <v>74</v>
      </c>
      <c r="BI450">
        <v>10</v>
      </c>
      <c r="BJ450" t="s">
        <v>3845</v>
      </c>
      <c r="BK450" t="s">
        <v>96</v>
      </c>
      <c r="BL450" t="s">
        <v>3845</v>
      </c>
      <c r="BM450" t="s">
        <v>6088</v>
      </c>
      <c r="BN450" t="s">
        <v>74</v>
      </c>
      <c r="BO450" t="s">
        <v>250</v>
      </c>
      <c r="BP450" t="s">
        <v>74</v>
      </c>
      <c r="BQ450" t="s">
        <v>74</v>
      </c>
      <c r="BR450" t="s">
        <v>99</v>
      </c>
      <c r="BS450" t="s">
        <v>6124</v>
      </c>
      <c r="BT450" t="str">
        <f>HYPERLINK("https%3A%2F%2Fwww.webofscience.com%2Fwos%2Fwoscc%2Ffull-record%2FWOS:000081627300015","View Full Record in Web of Science")</f>
        <v>View Full Record in Web of Science</v>
      </c>
    </row>
    <row r="451" spans="1:72" x14ac:dyDescent="0.15">
      <c r="A451" t="s">
        <v>72</v>
      </c>
      <c r="B451" t="s">
        <v>6125</v>
      </c>
      <c r="C451" t="s">
        <v>74</v>
      </c>
      <c r="D451" t="s">
        <v>74</v>
      </c>
      <c r="E451" t="s">
        <v>74</v>
      </c>
      <c r="F451" t="s">
        <v>6125</v>
      </c>
      <c r="G451" t="s">
        <v>74</v>
      </c>
      <c r="H451" t="s">
        <v>74</v>
      </c>
      <c r="I451" t="s">
        <v>6126</v>
      </c>
      <c r="J451" t="s">
        <v>3870</v>
      </c>
      <c r="K451" t="s">
        <v>74</v>
      </c>
      <c r="L451" t="s">
        <v>74</v>
      </c>
      <c r="M451" t="s">
        <v>77</v>
      </c>
      <c r="N451" t="s">
        <v>78</v>
      </c>
      <c r="O451" t="s">
        <v>74</v>
      </c>
      <c r="P451" t="s">
        <v>74</v>
      </c>
      <c r="Q451" t="s">
        <v>74</v>
      </c>
      <c r="R451" t="s">
        <v>74</v>
      </c>
      <c r="S451" t="s">
        <v>74</v>
      </c>
      <c r="T451" t="s">
        <v>74</v>
      </c>
      <c r="U451" t="s">
        <v>6127</v>
      </c>
      <c r="V451" t="s">
        <v>6128</v>
      </c>
      <c r="W451" t="s">
        <v>6129</v>
      </c>
      <c r="X451" t="s">
        <v>6130</v>
      </c>
      <c r="Y451" t="s">
        <v>6131</v>
      </c>
      <c r="Z451" t="s">
        <v>74</v>
      </c>
      <c r="AA451" t="s">
        <v>6132</v>
      </c>
      <c r="AB451" t="s">
        <v>6133</v>
      </c>
      <c r="AC451" t="s">
        <v>74</v>
      </c>
      <c r="AD451" t="s">
        <v>74</v>
      </c>
      <c r="AE451" t="s">
        <v>74</v>
      </c>
      <c r="AF451" t="s">
        <v>74</v>
      </c>
      <c r="AG451">
        <v>29</v>
      </c>
      <c r="AH451">
        <v>14</v>
      </c>
      <c r="AI451">
        <v>19</v>
      </c>
      <c r="AJ451">
        <v>1</v>
      </c>
      <c r="AK451">
        <v>7</v>
      </c>
      <c r="AL451" t="s">
        <v>3878</v>
      </c>
      <c r="AM451" t="s">
        <v>3879</v>
      </c>
      <c r="AN451" t="s">
        <v>3880</v>
      </c>
      <c r="AO451" t="s">
        <v>3881</v>
      </c>
      <c r="AP451" t="s">
        <v>74</v>
      </c>
      <c r="AQ451" t="s">
        <v>74</v>
      </c>
      <c r="AR451" t="s">
        <v>3882</v>
      </c>
      <c r="AS451" t="s">
        <v>3883</v>
      </c>
      <c r="AT451" t="s">
        <v>5141</v>
      </c>
      <c r="AU451">
        <v>1999</v>
      </c>
      <c r="AV451">
        <v>51</v>
      </c>
      <c r="AW451">
        <v>3</v>
      </c>
      <c r="AX451" t="s">
        <v>74</v>
      </c>
      <c r="AY451" t="s">
        <v>74</v>
      </c>
      <c r="AZ451" t="s">
        <v>74</v>
      </c>
      <c r="BA451" t="s">
        <v>74</v>
      </c>
      <c r="BB451">
        <v>603</v>
      </c>
      <c r="BC451">
        <v>611</v>
      </c>
      <c r="BD451" t="s">
        <v>74</v>
      </c>
      <c r="BE451" t="s">
        <v>6134</v>
      </c>
      <c r="BF451" t="str">
        <f>HYPERLINK("http://dx.doi.org/10.1034/j.1600-0889.1999.t01-2-00002.x","http://dx.doi.org/10.1034/j.1600-0889.1999.t01-2-00002.x")</f>
        <v>http://dx.doi.org/10.1034/j.1600-0889.1999.t01-2-00002.x</v>
      </c>
      <c r="BG451" t="s">
        <v>74</v>
      </c>
      <c r="BH451" t="s">
        <v>74</v>
      </c>
      <c r="BI451">
        <v>9</v>
      </c>
      <c r="BJ451" t="s">
        <v>95</v>
      </c>
      <c r="BK451" t="s">
        <v>96</v>
      </c>
      <c r="BL451" t="s">
        <v>95</v>
      </c>
      <c r="BM451" t="s">
        <v>6135</v>
      </c>
      <c r="BN451" t="s">
        <v>74</v>
      </c>
      <c r="BO451" t="s">
        <v>74</v>
      </c>
      <c r="BP451" t="s">
        <v>74</v>
      </c>
      <c r="BQ451" t="s">
        <v>74</v>
      </c>
      <c r="BR451" t="s">
        <v>99</v>
      </c>
      <c r="BS451" t="s">
        <v>6136</v>
      </c>
      <c r="BT451" t="str">
        <f>HYPERLINK("https%3A%2F%2Fwww.webofscience.com%2Fwos%2Fwoscc%2Ffull-record%2FWOS:000081661700002","View Full Record in Web of Science")</f>
        <v>View Full Record in Web of Science</v>
      </c>
    </row>
    <row r="452" spans="1:72" x14ac:dyDescent="0.15">
      <c r="A452" t="s">
        <v>72</v>
      </c>
      <c r="B452" t="s">
        <v>6137</v>
      </c>
      <c r="C452" t="s">
        <v>74</v>
      </c>
      <c r="D452" t="s">
        <v>74</v>
      </c>
      <c r="E452" t="s">
        <v>74</v>
      </c>
      <c r="F452" t="s">
        <v>6137</v>
      </c>
      <c r="G452" t="s">
        <v>74</v>
      </c>
      <c r="H452" t="s">
        <v>74</v>
      </c>
      <c r="I452" t="s">
        <v>6138</v>
      </c>
      <c r="J452" t="s">
        <v>3870</v>
      </c>
      <c r="K452" t="s">
        <v>74</v>
      </c>
      <c r="L452" t="s">
        <v>74</v>
      </c>
      <c r="M452" t="s">
        <v>77</v>
      </c>
      <c r="N452" t="s">
        <v>78</v>
      </c>
      <c r="O452" t="s">
        <v>74</v>
      </c>
      <c r="P452" t="s">
        <v>74</v>
      </c>
      <c r="Q452" t="s">
        <v>74</v>
      </c>
      <c r="R452" t="s">
        <v>74</v>
      </c>
      <c r="S452" t="s">
        <v>74</v>
      </c>
      <c r="T452" t="s">
        <v>74</v>
      </c>
      <c r="U452" t="s">
        <v>6139</v>
      </c>
      <c r="V452" t="s">
        <v>6140</v>
      </c>
      <c r="W452" t="s">
        <v>6141</v>
      </c>
      <c r="X452" t="s">
        <v>6142</v>
      </c>
      <c r="Y452" t="s">
        <v>6143</v>
      </c>
      <c r="Z452" t="s">
        <v>74</v>
      </c>
      <c r="AA452" t="s">
        <v>6144</v>
      </c>
      <c r="AB452" t="s">
        <v>6145</v>
      </c>
      <c r="AC452" t="s">
        <v>74</v>
      </c>
      <c r="AD452" t="s">
        <v>74</v>
      </c>
      <c r="AE452" t="s">
        <v>74</v>
      </c>
      <c r="AF452" t="s">
        <v>74</v>
      </c>
      <c r="AG452">
        <v>48</v>
      </c>
      <c r="AH452">
        <v>16</v>
      </c>
      <c r="AI452">
        <v>17</v>
      </c>
      <c r="AJ452">
        <v>0</v>
      </c>
      <c r="AK452">
        <v>6</v>
      </c>
      <c r="AL452" t="s">
        <v>3878</v>
      </c>
      <c r="AM452" t="s">
        <v>3879</v>
      </c>
      <c r="AN452" t="s">
        <v>3880</v>
      </c>
      <c r="AO452" t="s">
        <v>3881</v>
      </c>
      <c r="AP452" t="s">
        <v>74</v>
      </c>
      <c r="AQ452" t="s">
        <v>74</v>
      </c>
      <c r="AR452" t="s">
        <v>3882</v>
      </c>
      <c r="AS452" t="s">
        <v>3883</v>
      </c>
      <c r="AT452" t="s">
        <v>5141</v>
      </c>
      <c r="AU452">
        <v>1999</v>
      </c>
      <c r="AV452">
        <v>51</v>
      </c>
      <c r="AW452">
        <v>3</v>
      </c>
      <c r="AX452" t="s">
        <v>74</v>
      </c>
      <c r="AY452" t="s">
        <v>74</v>
      </c>
      <c r="AZ452" t="s">
        <v>74</v>
      </c>
      <c r="BA452" t="s">
        <v>74</v>
      </c>
      <c r="BB452">
        <v>679</v>
      </c>
      <c r="BC452">
        <v>687</v>
      </c>
      <c r="BD452" t="s">
        <v>74</v>
      </c>
      <c r="BE452" t="s">
        <v>6146</v>
      </c>
      <c r="BF452" t="str">
        <f>HYPERLINK("http://dx.doi.org/10.1034/j.1600-0889.1999.t01-2-00008.x","http://dx.doi.org/10.1034/j.1600-0889.1999.t01-2-00008.x")</f>
        <v>http://dx.doi.org/10.1034/j.1600-0889.1999.t01-2-00008.x</v>
      </c>
      <c r="BG452" t="s">
        <v>74</v>
      </c>
      <c r="BH452" t="s">
        <v>74</v>
      </c>
      <c r="BI452">
        <v>9</v>
      </c>
      <c r="BJ452" t="s">
        <v>95</v>
      </c>
      <c r="BK452" t="s">
        <v>96</v>
      </c>
      <c r="BL452" t="s">
        <v>95</v>
      </c>
      <c r="BM452" t="s">
        <v>6135</v>
      </c>
      <c r="BN452" t="s">
        <v>74</v>
      </c>
      <c r="BO452" t="s">
        <v>1214</v>
      </c>
      <c r="BP452" t="s">
        <v>74</v>
      </c>
      <c r="BQ452" t="s">
        <v>74</v>
      </c>
      <c r="BR452" t="s">
        <v>99</v>
      </c>
      <c r="BS452" t="s">
        <v>6147</v>
      </c>
      <c r="BT452" t="str">
        <f>HYPERLINK("https%3A%2F%2Fwww.webofscience.com%2Fwos%2Fwoscc%2Ffull-record%2FWOS:000081661700008","View Full Record in Web of Science")</f>
        <v>View Full Record in Web of Science</v>
      </c>
    </row>
    <row r="453" spans="1:72" x14ac:dyDescent="0.15">
      <c r="A453" t="s">
        <v>72</v>
      </c>
      <c r="B453" t="s">
        <v>6148</v>
      </c>
      <c r="C453" t="s">
        <v>74</v>
      </c>
      <c r="D453" t="s">
        <v>74</v>
      </c>
      <c r="E453" t="s">
        <v>74</v>
      </c>
      <c r="F453" t="s">
        <v>6148</v>
      </c>
      <c r="G453" t="s">
        <v>74</v>
      </c>
      <c r="H453" t="s">
        <v>74</v>
      </c>
      <c r="I453" t="s">
        <v>6149</v>
      </c>
      <c r="J453" t="s">
        <v>3870</v>
      </c>
      <c r="K453" t="s">
        <v>74</v>
      </c>
      <c r="L453" t="s">
        <v>74</v>
      </c>
      <c r="M453" t="s">
        <v>77</v>
      </c>
      <c r="N453" t="s">
        <v>123</v>
      </c>
      <c r="O453" t="s">
        <v>6150</v>
      </c>
      <c r="P453" t="s">
        <v>6151</v>
      </c>
      <c r="Q453" t="s">
        <v>6152</v>
      </c>
      <c r="R453" t="s">
        <v>74</v>
      </c>
      <c r="S453" t="s">
        <v>74</v>
      </c>
      <c r="T453" t="s">
        <v>74</v>
      </c>
      <c r="U453" t="s">
        <v>6153</v>
      </c>
      <c r="V453" t="s">
        <v>6154</v>
      </c>
      <c r="W453" t="s">
        <v>6155</v>
      </c>
      <c r="X453" t="s">
        <v>6156</v>
      </c>
      <c r="Y453" t="s">
        <v>6157</v>
      </c>
      <c r="Z453" t="s">
        <v>74</v>
      </c>
      <c r="AA453" t="s">
        <v>74</v>
      </c>
      <c r="AB453" t="s">
        <v>74</v>
      </c>
      <c r="AC453" t="s">
        <v>74</v>
      </c>
      <c r="AD453" t="s">
        <v>74</v>
      </c>
      <c r="AE453" t="s">
        <v>74</v>
      </c>
      <c r="AF453" t="s">
        <v>74</v>
      </c>
      <c r="AG453">
        <v>15</v>
      </c>
      <c r="AH453">
        <v>7</v>
      </c>
      <c r="AI453">
        <v>8</v>
      </c>
      <c r="AJ453">
        <v>1</v>
      </c>
      <c r="AK453">
        <v>3</v>
      </c>
      <c r="AL453" t="s">
        <v>3878</v>
      </c>
      <c r="AM453" t="s">
        <v>3879</v>
      </c>
      <c r="AN453" t="s">
        <v>3880</v>
      </c>
      <c r="AO453" t="s">
        <v>3881</v>
      </c>
      <c r="AP453" t="s">
        <v>74</v>
      </c>
      <c r="AQ453" t="s">
        <v>74</v>
      </c>
      <c r="AR453" t="s">
        <v>3882</v>
      </c>
      <c r="AS453" t="s">
        <v>3883</v>
      </c>
      <c r="AT453" t="s">
        <v>5141</v>
      </c>
      <c r="AU453">
        <v>1999</v>
      </c>
      <c r="AV453">
        <v>51</v>
      </c>
      <c r="AW453">
        <v>3</v>
      </c>
      <c r="AX453" t="s">
        <v>74</v>
      </c>
      <c r="AY453" t="s">
        <v>74</v>
      </c>
      <c r="AZ453" t="s">
        <v>74</v>
      </c>
      <c r="BA453" t="s">
        <v>74</v>
      </c>
      <c r="BB453">
        <v>713</v>
      </c>
      <c r="BC453">
        <v>721</v>
      </c>
      <c r="BD453" t="s">
        <v>74</v>
      </c>
      <c r="BE453" t="s">
        <v>6158</v>
      </c>
      <c r="BF453" t="str">
        <f>HYPERLINK("http://dx.doi.org/10.1034/j.1600-0889.1999.t01-1-00011.x","http://dx.doi.org/10.1034/j.1600-0889.1999.t01-1-00011.x")</f>
        <v>http://dx.doi.org/10.1034/j.1600-0889.1999.t01-1-00011.x</v>
      </c>
      <c r="BG453" t="s">
        <v>74</v>
      </c>
      <c r="BH453" t="s">
        <v>74</v>
      </c>
      <c r="BI453">
        <v>9</v>
      </c>
      <c r="BJ453" t="s">
        <v>95</v>
      </c>
      <c r="BK453" t="s">
        <v>143</v>
      </c>
      <c r="BL453" t="s">
        <v>95</v>
      </c>
      <c r="BM453" t="s">
        <v>6135</v>
      </c>
      <c r="BN453" t="s">
        <v>74</v>
      </c>
      <c r="BO453" t="s">
        <v>74</v>
      </c>
      <c r="BP453" t="s">
        <v>74</v>
      </c>
      <c r="BQ453" t="s">
        <v>74</v>
      </c>
      <c r="BR453" t="s">
        <v>99</v>
      </c>
      <c r="BS453" t="s">
        <v>6159</v>
      </c>
      <c r="BT453" t="str">
        <f>HYPERLINK("https%3A%2F%2Fwww.webofscience.com%2Fwos%2Fwoscc%2Ffull-record%2FWOS:000081661700011","View Full Record in Web of Science")</f>
        <v>View Full Record in Web of Science</v>
      </c>
    </row>
    <row r="454" spans="1:72" x14ac:dyDescent="0.15">
      <c r="A454" t="s">
        <v>72</v>
      </c>
      <c r="B454" t="s">
        <v>6160</v>
      </c>
      <c r="C454" t="s">
        <v>74</v>
      </c>
      <c r="D454" t="s">
        <v>74</v>
      </c>
      <c r="E454" t="s">
        <v>74</v>
      </c>
      <c r="F454" t="s">
        <v>6160</v>
      </c>
      <c r="G454" t="s">
        <v>74</v>
      </c>
      <c r="H454" t="s">
        <v>74</v>
      </c>
      <c r="I454" t="s">
        <v>6161</v>
      </c>
      <c r="J454" t="s">
        <v>290</v>
      </c>
      <c r="K454" t="s">
        <v>74</v>
      </c>
      <c r="L454" t="s">
        <v>74</v>
      </c>
      <c r="M454" t="s">
        <v>77</v>
      </c>
      <c r="N454" t="s">
        <v>78</v>
      </c>
      <c r="O454" t="s">
        <v>74</v>
      </c>
      <c r="P454" t="s">
        <v>74</v>
      </c>
      <c r="Q454" t="s">
        <v>74</v>
      </c>
      <c r="R454" t="s">
        <v>74</v>
      </c>
      <c r="S454" t="s">
        <v>74</v>
      </c>
      <c r="T454" t="s">
        <v>74</v>
      </c>
      <c r="U454" t="s">
        <v>6162</v>
      </c>
      <c r="V454" t="s">
        <v>6163</v>
      </c>
      <c r="W454" t="s">
        <v>293</v>
      </c>
      <c r="X454" t="s">
        <v>294</v>
      </c>
      <c r="Y454" t="s">
        <v>6164</v>
      </c>
      <c r="Z454" t="s">
        <v>74</v>
      </c>
      <c r="AA454" t="s">
        <v>74</v>
      </c>
      <c r="AB454" t="s">
        <v>74</v>
      </c>
      <c r="AC454" t="s">
        <v>74</v>
      </c>
      <c r="AD454" t="s">
        <v>74</v>
      </c>
      <c r="AE454" t="s">
        <v>74</v>
      </c>
      <c r="AF454" t="s">
        <v>74</v>
      </c>
      <c r="AG454">
        <v>21</v>
      </c>
      <c r="AH454">
        <v>10</v>
      </c>
      <c r="AI454">
        <v>10</v>
      </c>
      <c r="AJ454">
        <v>0</v>
      </c>
      <c r="AK454">
        <v>1</v>
      </c>
      <c r="AL454" t="s">
        <v>296</v>
      </c>
      <c r="AM454" t="s">
        <v>297</v>
      </c>
      <c r="AN454" t="s">
        <v>298</v>
      </c>
      <c r="AO454" t="s">
        <v>299</v>
      </c>
      <c r="AP454" t="s">
        <v>74</v>
      </c>
      <c r="AQ454" t="s">
        <v>74</v>
      </c>
      <c r="AR454" t="s">
        <v>300</v>
      </c>
      <c r="AS454" t="s">
        <v>301</v>
      </c>
      <c r="AT454" t="s">
        <v>6165</v>
      </c>
      <c r="AU454">
        <v>1999</v>
      </c>
      <c r="AV454">
        <v>76</v>
      </c>
      <c r="AW454">
        <v>12</v>
      </c>
      <c r="AX454" t="s">
        <v>74</v>
      </c>
      <c r="AY454" t="s">
        <v>74</v>
      </c>
      <c r="AZ454" t="s">
        <v>74</v>
      </c>
      <c r="BA454" t="s">
        <v>74</v>
      </c>
      <c r="BB454">
        <v>1585</v>
      </c>
      <c r="BC454">
        <v>1587</v>
      </c>
      <c r="BD454" t="s">
        <v>74</v>
      </c>
      <c r="BE454" t="s">
        <v>74</v>
      </c>
      <c r="BF454" t="s">
        <v>74</v>
      </c>
      <c r="BG454" t="s">
        <v>74</v>
      </c>
      <c r="BH454" t="s">
        <v>74</v>
      </c>
      <c r="BI454">
        <v>3</v>
      </c>
      <c r="BJ454" t="s">
        <v>303</v>
      </c>
      <c r="BK454" t="s">
        <v>96</v>
      </c>
      <c r="BL454" t="s">
        <v>304</v>
      </c>
      <c r="BM454" t="s">
        <v>6166</v>
      </c>
      <c r="BN454" t="s">
        <v>74</v>
      </c>
      <c r="BO454" t="s">
        <v>74</v>
      </c>
      <c r="BP454" t="s">
        <v>74</v>
      </c>
      <c r="BQ454" t="s">
        <v>74</v>
      </c>
      <c r="BR454" t="s">
        <v>99</v>
      </c>
      <c r="BS454" t="s">
        <v>6167</v>
      </c>
      <c r="BT454" t="str">
        <f>HYPERLINK("https%3A%2F%2Fwww.webofscience.com%2Fwos%2Fwoscc%2Ffull-record%2FWOS:000081263700023","View Full Record in Web of Science")</f>
        <v>View Full Record in Web of Science</v>
      </c>
    </row>
    <row r="455" spans="1:72" x14ac:dyDescent="0.15">
      <c r="A455" t="s">
        <v>72</v>
      </c>
      <c r="B455" t="s">
        <v>6168</v>
      </c>
      <c r="C455" t="s">
        <v>74</v>
      </c>
      <c r="D455" t="s">
        <v>74</v>
      </c>
      <c r="E455" t="s">
        <v>74</v>
      </c>
      <c r="F455" t="s">
        <v>6168</v>
      </c>
      <c r="G455" t="s">
        <v>74</v>
      </c>
      <c r="H455" t="s">
        <v>74</v>
      </c>
      <c r="I455" t="s">
        <v>6169</v>
      </c>
      <c r="J455" t="s">
        <v>6170</v>
      </c>
      <c r="K455" t="s">
        <v>74</v>
      </c>
      <c r="L455" t="s">
        <v>74</v>
      </c>
      <c r="M455" t="s">
        <v>77</v>
      </c>
      <c r="N455" t="s">
        <v>78</v>
      </c>
      <c r="O455" t="s">
        <v>74</v>
      </c>
      <c r="P455" t="s">
        <v>74</v>
      </c>
      <c r="Q455" t="s">
        <v>74</v>
      </c>
      <c r="R455" t="s">
        <v>74</v>
      </c>
      <c r="S455" t="s">
        <v>74</v>
      </c>
      <c r="T455" t="s">
        <v>6171</v>
      </c>
      <c r="U455" t="s">
        <v>6172</v>
      </c>
      <c r="V455" t="s">
        <v>6173</v>
      </c>
      <c r="W455" t="s">
        <v>6174</v>
      </c>
      <c r="X455" t="s">
        <v>6175</v>
      </c>
      <c r="Y455" t="s">
        <v>6176</v>
      </c>
      <c r="Z455" t="s">
        <v>6177</v>
      </c>
      <c r="AA455" t="s">
        <v>6178</v>
      </c>
      <c r="AB455" t="s">
        <v>6179</v>
      </c>
      <c r="AC455" t="s">
        <v>74</v>
      </c>
      <c r="AD455" t="s">
        <v>74</v>
      </c>
      <c r="AE455" t="s">
        <v>74</v>
      </c>
      <c r="AF455" t="s">
        <v>74</v>
      </c>
      <c r="AG455">
        <v>31</v>
      </c>
      <c r="AH455">
        <v>30</v>
      </c>
      <c r="AI455">
        <v>34</v>
      </c>
      <c r="AJ455">
        <v>0</v>
      </c>
      <c r="AK455">
        <v>3</v>
      </c>
      <c r="AL455" t="s">
        <v>997</v>
      </c>
      <c r="AM455" t="s">
        <v>998</v>
      </c>
      <c r="AN455" t="s">
        <v>999</v>
      </c>
      <c r="AO455" t="s">
        <v>6180</v>
      </c>
      <c r="AP455" t="s">
        <v>6181</v>
      </c>
      <c r="AQ455" t="s">
        <v>74</v>
      </c>
      <c r="AR455" t="s">
        <v>6182</v>
      </c>
      <c r="AS455" t="s">
        <v>6183</v>
      </c>
      <c r="AT455" t="s">
        <v>6165</v>
      </c>
      <c r="AU455">
        <v>1999</v>
      </c>
      <c r="AV455">
        <v>453</v>
      </c>
      <c r="AW455">
        <v>3</v>
      </c>
      <c r="AX455" t="s">
        <v>74</v>
      </c>
      <c r="AY455" t="s">
        <v>74</v>
      </c>
      <c r="AZ455" t="s">
        <v>74</v>
      </c>
      <c r="BA455" t="s">
        <v>74</v>
      </c>
      <c r="BB455">
        <v>313</v>
      </c>
      <c r="BC455">
        <v>317</v>
      </c>
      <c r="BD455" t="s">
        <v>74</v>
      </c>
      <c r="BE455" t="s">
        <v>6184</v>
      </c>
      <c r="BF455" t="str">
        <f>HYPERLINK("http://dx.doi.org/10.1016/S0014-5793(99)00660-2","http://dx.doi.org/10.1016/S0014-5793(99)00660-2")</f>
        <v>http://dx.doi.org/10.1016/S0014-5793(99)00660-2</v>
      </c>
      <c r="BG455" t="s">
        <v>74</v>
      </c>
      <c r="BH455" t="s">
        <v>74</v>
      </c>
      <c r="BI455">
        <v>5</v>
      </c>
      <c r="BJ455" t="s">
        <v>6185</v>
      </c>
      <c r="BK455" t="s">
        <v>96</v>
      </c>
      <c r="BL455" t="s">
        <v>6185</v>
      </c>
      <c r="BM455" t="s">
        <v>6186</v>
      </c>
      <c r="BN455">
        <v>10405167</v>
      </c>
      <c r="BO455" t="s">
        <v>74</v>
      </c>
      <c r="BP455" t="s">
        <v>74</v>
      </c>
      <c r="BQ455" t="s">
        <v>74</v>
      </c>
      <c r="BR455" t="s">
        <v>99</v>
      </c>
      <c r="BS455" t="s">
        <v>6187</v>
      </c>
      <c r="BT455" t="str">
        <f>HYPERLINK("https%3A%2F%2Fwww.webofscience.com%2Fwos%2Fwoscc%2Ffull-record%2FWOS:000081242100016","View Full Record in Web of Science")</f>
        <v>View Full Record in Web of Science</v>
      </c>
    </row>
    <row r="456" spans="1:72" x14ac:dyDescent="0.15">
      <c r="A456" t="s">
        <v>72</v>
      </c>
      <c r="B456" t="s">
        <v>6188</v>
      </c>
      <c r="C456" t="s">
        <v>74</v>
      </c>
      <c r="D456" t="s">
        <v>74</v>
      </c>
      <c r="E456" t="s">
        <v>74</v>
      </c>
      <c r="F456" t="s">
        <v>6188</v>
      </c>
      <c r="G456" t="s">
        <v>74</v>
      </c>
      <c r="H456" t="s">
        <v>74</v>
      </c>
      <c r="I456" t="s">
        <v>6189</v>
      </c>
      <c r="J456" t="s">
        <v>1522</v>
      </c>
      <c r="K456" t="s">
        <v>74</v>
      </c>
      <c r="L456" t="s">
        <v>74</v>
      </c>
      <c r="M456" t="s">
        <v>77</v>
      </c>
      <c r="N456" t="s">
        <v>78</v>
      </c>
      <c r="O456" t="s">
        <v>74</v>
      </c>
      <c r="P456" t="s">
        <v>74</v>
      </c>
      <c r="Q456" t="s">
        <v>74</v>
      </c>
      <c r="R456" t="s">
        <v>74</v>
      </c>
      <c r="S456" t="s">
        <v>74</v>
      </c>
      <c r="T456" t="s">
        <v>74</v>
      </c>
      <c r="U456" t="s">
        <v>6190</v>
      </c>
      <c r="V456" t="s">
        <v>6191</v>
      </c>
      <c r="W456" t="s">
        <v>6192</v>
      </c>
      <c r="X456" t="s">
        <v>6193</v>
      </c>
      <c r="Y456" t="s">
        <v>6194</v>
      </c>
      <c r="Z456" t="s">
        <v>6195</v>
      </c>
      <c r="AA456" t="s">
        <v>74</v>
      </c>
      <c r="AB456" t="s">
        <v>74</v>
      </c>
      <c r="AC456" t="s">
        <v>74</v>
      </c>
      <c r="AD456" t="s">
        <v>74</v>
      </c>
      <c r="AE456" t="s">
        <v>74</v>
      </c>
      <c r="AF456" t="s">
        <v>74</v>
      </c>
      <c r="AG456">
        <v>43</v>
      </c>
      <c r="AH456">
        <v>11</v>
      </c>
      <c r="AI456">
        <v>13</v>
      </c>
      <c r="AJ456">
        <v>0</v>
      </c>
      <c r="AK456">
        <v>7</v>
      </c>
      <c r="AL456" t="s">
        <v>230</v>
      </c>
      <c r="AM456" t="s">
        <v>231</v>
      </c>
      <c r="AN456" t="s">
        <v>232</v>
      </c>
      <c r="AO456" t="s">
        <v>1528</v>
      </c>
      <c r="AP456" t="s">
        <v>1529</v>
      </c>
      <c r="AQ456" t="s">
        <v>74</v>
      </c>
      <c r="AR456" t="s">
        <v>1530</v>
      </c>
      <c r="AS456" t="s">
        <v>1531</v>
      </c>
      <c r="AT456" t="s">
        <v>6165</v>
      </c>
      <c r="AU456">
        <v>1999</v>
      </c>
      <c r="AV456">
        <v>104</v>
      </c>
      <c r="AW456" t="s">
        <v>6196</v>
      </c>
      <c r="AX456" t="s">
        <v>74</v>
      </c>
      <c r="AY456" t="s">
        <v>74</v>
      </c>
      <c r="AZ456" t="s">
        <v>74</v>
      </c>
      <c r="BA456" t="s">
        <v>74</v>
      </c>
      <c r="BB456">
        <v>14159</v>
      </c>
      <c r="BC456">
        <v>14168</v>
      </c>
      <c r="BD456" t="s">
        <v>74</v>
      </c>
      <c r="BE456" t="s">
        <v>6197</v>
      </c>
      <c r="BF456" t="str">
        <f>HYPERLINK("http://dx.doi.org/10.1029/1999JE900015","http://dx.doi.org/10.1029/1999JE900015")</f>
        <v>http://dx.doi.org/10.1029/1999JE900015</v>
      </c>
      <c r="BG456" t="s">
        <v>74</v>
      </c>
      <c r="BH456" t="s">
        <v>74</v>
      </c>
      <c r="BI456">
        <v>10</v>
      </c>
      <c r="BJ456" t="s">
        <v>216</v>
      </c>
      <c r="BK456" t="s">
        <v>96</v>
      </c>
      <c r="BL456" t="s">
        <v>216</v>
      </c>
      <c r="BM456" t="s">
        <v>6198</v>
      </c>
      <c r="BN456" t="s">
        <v>74</v>
      </c>
      <c r="BO456" t="s">
        <v>250</v>
      </c>
      <c r="BP456" t="s">
        <v>74</v>
      </c>
      <c r="BQ456" t="s">
        <v>74</v>
      </c>
      <c r="BR456" t="s">
        <v>99</v>
      </c>
      <c r="BS456" t="s">
        <v>6199</v>
      </c>
      <c r="BT456" t="str">
        <f>HYPERLINK("https%3A%2F%2Fwww.webofscience.com%2Fwos%2Fwoscc%2Ffull-record%2FWOS:000081144000010","View Full Record in Web of Science")</f>
        <v>View Full Record in Web of Science</v>
      </c>
    </row>
    <row r="457" spans="1:72" x14ac:dyDescent="0.15">
      <c r="A457" t="s">
        <v>72</v>
      </c>
      <c r="B457" t="s">
        <v>6200</v>
      </c>
      <c r="C457" t="s">
        <v>74</v>
      </c>
      <c r="D457" t="s">
        <v>74</v>
      </c>
      <c r="E457" t="s">
        <v>74</v>
      </c>
      <c r="F457" t="s">
        <v>6200</v>
      </c>
      <c r="G457" t="s">
        <v>74</v>
      </c>
      <c r="H457" t="s">
        <v>74</v>
      </c>
      <c r="I457" t="s">
        <v>6201</v>
      </c>
      <c r="J457" t="s">
        <v>2692</v>
      </c>
      <c r="K457" t="s">
        <v>74</v>
      </c>
      <c r="L457" t="s">
        <v>74</v>
      </c>
      <c r="M457" t="s">
        <v>77</v>
      </c>
      <c r="N457" t="s">
        <v>2339</v>
      </c>
      <c r="O457" t="s">
        <v>74</v>
      </c>
      <c r="P457" t="s">
        <v>74</v>
      </c>
      <c r="Q457" t="s">
        <v>74</v>
      </c>
      <c r="R457" t="s">
        <v>74</v>
      </c>
      <c r="S457" t="s">
        <v>74</v>
      </c>
      <c r="T457" t="s">
        <v>74</v>
      </c>
      <c r="U457" t="s">
        <v>74</v>
      </c>
      <c r="V457" t="s">
        <v>74</v>
      </c>
      <c r="W457" t="s">
        <v>6202</v>
      </c>
      <c r="X457" t="s">
        <v>74</v>
      </c>
      <c r="Y457" t="s">
        <v>6203</v>
      </c>
      <c r="Z457" t="s">
        <v>74</v>
      </c>
      <c r="AA457" t="s">
        <v>74</v>
      </c>
      <c r="AB457" t="s">
        <v>74</v>
      </c>
      <c r="AC457" t="s">
        <v>74</v>
      </c>
      <c r="AD457" t="s">
        <v>74</v>
      </c>
      <c r="AE457" t="s">
        <v>74</v>
      </c>
      <c r="AF457" t="s">
        <v>74</v>
      </c>
      <c r="AG457">
        <v>1</v>
      </c>
      <c r="AH457">
        <v>0</v>
      </c>
      <c r="AI457">
        <v>0</v>
      </c>
      <c r="AJ457">
        <v>0</v>
      </c>
      <c r="AK457">
        <v>1</v>
      </c>
      <c r="AL457" t="s">
        <v>2693</v>
      </c>
      <c r="AM457" t="s">
        <v>531</v>
      </c>
      <c r="AN457" t="s">
        <v>2694</v>
      </c>
      <c r="AO457" t="s">
        <v>2695</v>
      </c>
      <c r="AP457" t="s">
        <v>74</v>
      </c>
      <c r="AQ457" t="s">
        <v>74</v>
      </c>
      <c r="AR457" t="s">
        <v>2692</v>
      </c>
      <c r="AS457" t="s">
        <v>2696</v>
      </c>
      <c r="AT457" t="s">
        <v>6204</v>
      </c>
      <c r="AU457">
        <v>1999</v>
      </c>
      <c r="AV457">
        <v>399</v>
      </c>
      <c r="AW457">
        <v>6738</v>
      </c>
      <c r="AX457" t="s">
        <v>74</v>
      </c>
      <c r="AY457" t="s">
        <v>74</v>
      </c>
      <c r="AZ457" t="s">
        <v>74</v>
      </c>
      <c r="BA457" t="s">
        <v>74</v>
      </c>
      <c r="BB457">
        <v>728</v>
      </c>
      <c r="BC457">
        <v>728</v>
      </c>
      <c r="BD457" t="s">
        <v>74</v>
      </c>
      <c r="BE457" t="s">
        <v>6205</v>
      </c>
      <c r="BF457" t="str">
        <f>HYPERLINK("http://dx.doi.org/10.1038/21520","http://dx.doi.org/10.1038/21520")</f>
        <v>http://dx.doi.org/10.1038/21520</v>
      </c>
      <c r="BG457" t="s">
        <v>74</v>
      </c>
      <c r="BH457" t="s">
        <v>74</v>
      </c>
      <c r="BI457">
        <v>1</v>
      </c>
      <c r="BJ457" t="s">
        <v>303</v>
      </c>
      <c r="BK457" t="s">
        <v>96</v>
      </c>
      <c r="BL457" t="s">
        <v>304</v>
      </c>
      <c r="BM457" t="s">
        <v>6206</v>
      </c>
      <c r="BN457" t="s">
        <v>74</v>
      </c>
      <c r="BO457" t="s">
        <v>250</v>
      </c>
      <c r="BP457" t="s">
        <v>74</v>
      </c>
      <c r="BQ457" t="s">
        <v>74</v>
      </c>
      <c r="BR457" t="s">
        <v>99</v>
      </c>
      <c r="BS457" t="s">
        <v>6207</v>
      </c>
      <c r="BT457" t="str">
        <f>HYPERLINK("https%3A%2F%2Fwww.webofscience.com%2Fwos%2Fwoscc%2Ffull-record%2FWOS:000081101600020","View Full Record in Web of Science")</f>
        <v>View Full Record in Web of Science</v>
      </c>
    </row>
    <row r="458" spans="1:72" x14ac:dyDescent="0.15">
      <c r="A458" t="s">
        <v>72</v>
      </c>
      <c r="B458" t="s">
        <v>6208</v>
      </c>
      <c r="C458" t="s">
        <v>74</v>
      </c>
      <c r="D458" t="s">
        <v>74</v>
      </c>
      <c r="E458" t="s">
        <v>74</v>
      </c>
      <c r="F458" t="s">
        <v>6208</v>
      </c>
      <c r="G458" t="s">
        <v>74</v>
      </c>
      <c r="H458" t="s">
        <v>74</v>
      </c>
      <c r="I458" t="s">
        <v>6209</v>
      </c>
      <c r="J458" t="s">
        <v>6210</v>
      </c>
      <c r="K458" t="s">
        <v>74</v>
      </c>
      <c r="L458" t="s">
        <v>74</v>
      </c>
      <c r="M458" t="s">
        <v>77</v>
      </c>
      <c r="N458" t="s">
        <v>78</v>
      </c>
      <c r="O458" t="s">
        <v>74</v>
      </c>
      <c r="P458" t="s">
        <v>74</v>
      </c>
      <c r="Q458" t="s">
        <v>74</v>
      </c>
      <c r="R458" t="s">
        <v>74</v>
      </c>
      <c r="S458" t="s">
        <v>74</v>
      </c>
      <c r="T458" t="s">
        <v>6211</v>
      </c>
      <c r="U458" t="s">
        <v>6212</v>
      </c>
      <c r="V458" t="s">
        <v>6213</v>
      </c>
      <c r="W458" t="s">
        <v>6214</v>
      </c>
      <c r="X458" t="s">
        <v>6215</v>
      </c>
      <c r="Y458" t="s">
        <v>6216</v>
      </c>
      <c r="Z458" t="s">
        <v>74</v>
      </c>
      <c r="AA458" t="s">
        <v>74</v>
      </c>
      <c r="AB458" t="s">
        <v>74</v>
      </c>
      <c r="AC458" t="s">
        <v>74</v>
      </c>
      <c r="AD458" t="s">
        <v>74</v>
      </c>
      <c r="AE458" t="s">
        <v>74</v>
      </c>
      <c r="AF458" t="s">
        <v>74</v>
      </c>
      <c r="AG458">
        <v>47</v>
      </c>
      <c r="AH458">
        <v>94</v>
      </c>
      <c r="AI458">
        <v>99</v>
      </c>
      <c r="AJ458">
        <v>0</v>
      </c>
      <c r="AK458">
        <v>6</v>
      </c>
      <c r="AL458" t="s">
        <v>6217</v>
      </c>
      <c r="AM458" t="s">
        <v>6218</v>
      </c>
      <c r="AN458" t="s">
        <v>6219</v>
      </c>
      <c r="AO458" t="s">
        <v>6220</v>
      </c>
      <c r="AP458" t="s">
        <v>74</v>
      </c>
      <c r="AQ458" t="s">
        <v>74</v>
      </c>
      <c r="AR458" t="s">
        <v>6221</v>
      </c>
      <c r="AS458" t="s">
        <v>6222</v>
      </c>
      <c r="AT458" t="s">
        <v>6223</v>
      </c>
      <c r="AU458">
        <v>1999</v>
      </c>
      <c r="AV458">
        <v>518</v>
      </c>
      <c r="AW458">
        <v>2</v>
      </c>
      <c r="AX458">
        <v>1</v>
      </c>
      <c r="AY458" t="s">
        <v>74</v>
      </c>
      <c r="AZ458" t="s">
        <v>74</v>
      </c>
      <c r="BA458" t="s">
        <v>74</v>
      </c>
      <c r="BB458">
        <v>965</v>
      </c>
      <c r="BC458">
        <v>973</v>
      </c>
      <c r="BD458" t="s">
        <v>74</v>
      </c>
      <c r="BE458" t="s">
        <v>6224</v>
      </c>
      <c r="BF458" t="str">
        <f>HYPERLINK("http://dx.doi.org/10.1086/307320","http://dx.doi.org/10.1086/307320")</f>
        <v>http://dx.doi.org/10.1086/307320</v>
      </c>
      <c r="BG458" t="s">
        <v>74</v>
      </c>
      <c r="BH458" t="s">
        <v>74</v>
      </c>
      <c r="BI458">
        <v>9</v>
      </c>
      <c r="BJ458" t="s">
        <v>1076</v>
      </c>
      <c r="BK458" t="s">
        <v>96</v>
      </c>
      <c r="BL458" t="s">
        <v>1076</v>
      </c>
      <c r="BM458" t="s">
        <v>6225</v>
      </c>
      <c r="BN458" t="s">
        <v>74</v>
      </c>
      <c r="BO458" t="s">
        <v>1214</v>
      </c>
      <c r="BP458" t="s">
        <v>74</v>
      </c>
      <c r="BQ458" t="s">
        <v>74</v>
      </c>
      <c r="BR458" t="s">
        <v>99</v>
      </c>
      <c r="BS458" t="s">
        <v>6226</v>
      </c>
      <c r="BT458" t="str">
        <f>HYPERLINK("https%3A%2F%2Fwww.webofscience.com%2Fwos%2Fwoscc%2Ffull-record%2FWOS:000081158700040","View Full Record in Web of Science")</f>
        <v>View Full Record in Web of Science</v>
      </c>
    </row>
    <row r="459" spans="1:72" x14ac:dyDescent="0.15">
      <c r="A459" t="s">
        <v>72</v>
      </c>
      <c r="B459" t="s">
        <v>6227</v>
      </c>
      <c r="C459" t="s">
        <v>74</v>
      </c>
      <c r="D459" t="s">
        <v>74</v>
      </c>
      <c r="E459" t="s">
        <v>74</v>
      </c>
      <c r="F459" t="s">
        <v>6227</v>
      </c>
      <c r="G459" t="s">
        <v>74</v>
      </c>
      <c r="H459" t="s">
        <v>74</v>
      </c>
      <c r="I459" t="s">
        <v>6228</v>
      </c>
      <c r="J459" t="s">
        <v>6229</v>
      </c>
      <c r="K459" t="s">
        <v>74</v>
      </c>
      <c r="L459" t="s">
        <v>74</v>
      </c>
      <c r="M459" t="s">
        <v>77</v>
      </c>
      <c r="N459" t="s">
        <v>78</v>
      </c>
      <c r="O459" t="s">
        <v>74</v>
      </c>
      <c r="P459" t="s">
        <v>74</v>
      </c>
      <c r="Q459" t="s">
        <v>74</v>
      </c>
      <c r="R459" t="s">
        <v>74</v>
      </c>
      <c r="S459" t="s">
        <v>74</v>
      </c>
      <c r="T459" t="s">
        <v>74</v>
      </c>
      <c r="U459" t="s">
        <v>6230</v>
      </c>
      <c r="V459" t="s">
        <v>6231</v>
      </c>
      <c r="W459" t="s">
        <v>6232</v>
      </c>
      <c r="X459" t="s">
        <v>6233</v>
      </c>
      <c r="Y459" t="s">
        <v>6234</v>
      </c>
      <c r="Z459" t="s">
        <v>74</v>
      </c>
      <c r="AA459" t="s">
        <v>74</v>
      </c>
      <c r="AB459" t="s">
        <v>6235</v>
      </c>
      <c r="AC459" t="s">
        <v>74</v>
      </c>
      <c r="AD459" t="s">
        <v>74</v>
      </c>
      <c r="AE459" t="s">
        <v>74</v>
      </c>
      <c r="AF459" t="s">
        <v>74</v>
      </c>
      <c r="AG459">
        <v>54</v>
      </c>
      <c r="AH459">
        <v>12</v>
      </c>
      <c r="AI459">
        <v>12</v>
      </c>
      <c r="AJ459">
        <v>0</v>
      </c>
      <c r="AK459">
        <v>5</v>
      </c>
      <c r="AL459" t="s">
        <v>210</v>
      </c>
      <c r="AM459" t="s">
        <v>211</v>
      </c>
      <c r="AN459" t="s">
        <v>212</v>
      </c>
      <c r="AO459" t="s">
        <v>6236</v>
      </c>
      <c r="AP459" t="s">
        <v>74</v>
      </c>
      <c r="AQ459" t="s">
        <v>74</v>
      </c>
      <c r="AR459" t="s">
        <v>6237</v>
      </c>
      <c r="AS459" t="s">
        <v>6238</v>
      </c>
      <c r="AT459" t="s">
        <v>6239</v>
      </c>
      <c r="AU459">
        <v>1999</v>
      </c>
      <c r="AV459">
        <v>244</v>
      </c>
      <c r="AW459" t="s">
        <v>6240</v>
      </c>
      <c r="AX459" t="s">
        <v>74</v>
      </c>
      <c r="AY459" t="s">
        <v>74</v>
      </c>
      <c r="AZ459" t="s">
        <v>74</v>
      </c>
      <c r="BA459" t="s">
        <v>74</v>
      </c>
      <c r="BB459">
        <v>227</v>
      </c>
      <c r="BC459">
        <v>249</v>
      </c>
      <c r="BD459" t="s">
        <v>74</v>
      </c>
      <c r="BE459" t="s">
        <v>6241</v>
      </c>
      <c r="BF459" t="str">
        <f>HYPERLINK("http://dx.doi.org/10.1016/S0301-0104(99)00160-3","http://dx.doi.org/10.1016/S0301-0104(99)00160-3")</f>
        <v>http://dx.doi.org/10.1016/S0301-0104(99)00160-3</v>
      </c>
      <c r="BG459" t="s">
        <v>74</v>
      </c>
      <c r="BH459" t="s">
        <v>74</v>
      </c>
      <c r="BI459">
        <v>23</v>
      </c>
      <c r="BJ459" t="s">
        <v>372</v>
      </c>
      <c r="BK459" t="s">
        <v>96</v>
      </c>
      <c r="BL459" t="s">
        <v>373</v>
      </c>
      <c r="BM459" t="s">
        <v>6242</v>
      </c>
      <c r="BN459" t="s">
        <v>74</v>
      </c>
      <c r="BO459" t="s">
        <v>74</v>
      </c>
      <c r="BP459" t="s">
        <v>74</v>
      </c>
      <c r="BQ459" t="s">
        <v>74</v>
      </c>
      <c r="BR459" t="s">
        <v>99</v>
      </c>
      <c r="BS459" t="s">
        <v>6243</v>
      </c>
      <c r="BT459" t="str">
        <f>HYPERLINK("https%3A%2F%2Fwww.webofscience.com%2Fwos%2Fwoscc%2Ffull-record%2FWOS:000081180600009","View Full Record in Web of Science")</f>
        <v>View Full Record in Web of Science</v>
      </c>
    </row>
    <row r="460" spans="1:72" x14ac:dyDescent="0.15">
      <c r="A460" t="s">
        <v>72</v>
      </c>
      <c r="B460" t="s">
        <v>6244</v>
      </c>
      <c r="C460" t="s">
        <v>74</v>
      </c>
      <c r="D460" t="s">
        <v>74</v>
      </c>
      <c r="E460" t="s">
        <v>74</v>
      </c>
      <c r="F460" t="s">
        <v>6244</v>
      </c>
      <c r="G460" t="s">
        <v>74</v>
      </c>
      <c r="H460" t="s">
        <v>74</v>
      </c>
      <c r="I460" t="s">
        <v>6245</v>
      </c>
      <c r="J460" t="s">
        <v>2181</v>
      </c>
      <c r="K460" t="s">
        <v>74</v>
      </c>
      <c r="L460" t="s">
        <v>74</v>
      </c>
      <c r="M460" t="s">
        <v>77</v>
      </c>
      <c r="N460" t="s">
        <v>78</v>
      </c>
      <c r="O460" t="s">
        <v>74</v>
      </c>
      <c r="P460" t="s">
        <v>74</v>
      </c>
      <c r="Q460" t="s">
        <v>74</v>
      </c>
      <c r="R460" t="s">
        <v>74</v>
      </c>
      <c r="S460" t="s">
        <v>74</v>
      </c>
      <c r="T460" t="s">
        <v>6246</v>
      </c>
      <c r="U460" t="s">
        <v>6247</v>
      </c>
      <c r="V460" t="s">
        <v>6248</v>
      </c>
      <c r="W460" t="s">
        <v>151</v>
      </c>
      <c r="X460" t="s">
        <v>131</v>
      </c>
      <c r="Y460" t="s">
        <v>6249</v>
      </c>
      <c r="Z460" t="s">
        <v>6250</v>
      </c>
      <c r="AA460" t="s">
        <v>6251</v>
      </c>
      <c r="AB460" t="s">
        <v>6252</v>
      </c>
      <c r="AC460" t="s">
        <v>74</v>
      </c>
      <c r="AD460" t="s">
        <v>74</v>
      </c>
      <c r="AE460" t="s">
        <v>74</v>
      </c>
      <c r="AF460" t="s">
        <v>74</v>
      </c>
      <c r="AG460">
        <v>52</v>
      </c>
      <c r="AH460">
        <v>50</v>
      </c>
      <c r="AI460">
        <v>53</v>
      </c>
      <c r="AJ460">
        <v>0</v>
      </c>
      <c r="AK460">
        <v>6</v>
      </c>
      <c r="AL460" t="s">
        <v>997</v>
      </c>
      <c r="AM460" t="s">
        <v>998</v>
      </c>
      <c r="AN460" t="s">
        <v>999</v>
      </c>
      <c r="AO460" t="s">
        <v>2192</v>
      </c>
      <c r="AP460" t="s">
        <v>3330</v>
      </c>
      <c r="AQ460" t="s">
        <v>74</v>
      </c>
      <c r="AR460" t="s">
        <v>2193</v>
      </c>
      <c r="AS460" t="s">
        <v>2194</v>
      </c>
      <c r="AT460" t="s">
        <v>6239</v>
      </c>
      <c r="AU460">
        <v>1999</v>
      </c>
      <c r="AV460">
        <v>19</v>
      </c>
      <c r="AW460">
        <v>7</v>
      </c>
      <c r="AX460" t="s">
        <v>74</v>
      </c>
      <c r="AY460" t="s">
        <v>74</v>
      </c>
      <c r="AZ460" t="s">
        <v>74</v>
      </c>
      <c r="BA460" t="s">
        <v>74</v>
      </c>
      <c r="BB460">
        <v>697</v>
      </c>
      <c r="BC460">
        <v>724</v>
      </c>
      <c r="BD460" t="s">
        <v>74</v>
      </c>
      <c r="BE460" t="s">
        <v>6253</v>
      </c>
      <c r="BF460" t="str">
        <f>HYPERLINK("http://dx.doi.org/10.1002/(SICI)1097-0088(19990615)19:7&lt;697::AID-JOC392&gt;3.3.CO;2-V","http://dx.doi.org/10.1002/(SICI)1097-0088(19990615)19:7&lt;697::AID-JOC392&gt;3.3.CO;2-V")</f>
        <v>http://dx.doi.org/10.1002/(SICI)1097-0088(19990615)19:7&lt;697::AID-JOC392&gt;3.3.CO;2-V</v>
      </c>
      <c r="BG460" t="s">
        <v>74</v>
      </c>
      <c r="BH460" t="s">
        <v>74</v>
      </c>
      <c r="BI460">
        <v>28</v>
      </c>
      <c r="BJ460" t="s">
        <v>95</v>
      </c>
      <c r="BK460" t="s">
        <v>96</v>
      </c>
      <c r="BL460" t="s">
        <v>95</v>
      </c>
      <c r="BM460" t="s">
        <v>6254</v>
      </c>
      <c r="BN460" t="s">
        <v>74</v>
      </c>
      <c r="BO460" t="s">
        <v>74</v>
      </c>
      <c r="BP460" t="s">
        <v>74</v>
      </c>
      <c r="BQ460" t="s">
        <v>74</v>
      </c>
      <c r="BR460" t="s">
        <v>99</v>
      </c>
      <c r="BS460" t="s">
        <v>6255</v>
      </c>
      <c r="BT460" t="str">
        <f>HYPERLINK("https%3A%2F%2Fwww.webofscience.com%2Fwos%2Fwoscc%2Ffull-record%2FWOS:000081011400001","View Full Record in Web of Science")</f>
        <v>View Full Record in Web of Science</v>
      </c>
    </row>
    <row r="461" spans="1:72" x14ac:dyDescent="0.15">
      <c r="A461" t="s">
        <v>72</v>
      </c>
      <c r="B461" t="s">
        <v>6256</v>
      </c>
      <c r="C461" t="s">
        <v>74</v>
      </c>
      <c r="D461" t="s">
        <v>74</v>
      </c>
      <c r="E461" t="s">
        <v>74</v>
      </c>
      <c r="F461" t="s">
        <v>6256</v>
      </c>
      <c r="G461" t="s">
        <v>74</v>
      </c>
      <c r="H461" t="s">
        <v>74</v>
      </c>
      <c r="I461" t="s">
        <v>6257</v>
      </c>
      <c r="J461" t="s">
        <v>403</v>
      </c>
      <c r="K461" t="s">
        <v>74</v>
      </c>
      <c r="L461" t="s">
        <v>74</v>
      </c>
      <c r="M461" t="s">
        <v>77</v>
      </c>
      <c r="N461" t="s">
        <v>78</v>
      </c>
      <c r="O461" t="s">
        <v>74</v>
      </c>
      <c r="P461" t="s">
        <v>74</v>
      </c>
      <c r="Q461" t="s">
        <v>74</v>
      </c>
      <c r="R461" t="s">
        <v>74</v>
      </c>
      <c r="S461" t="s">
        <v>74</v>
      </c>
      <c r="T461" t="s">
        <v>74</v>
      </c>
      <c r="U461" t="s">
        <v>6258</v>
      </c>
      <c r="V461" t="s">
        <v>6259</v>
      </c>
      <c r="W461" t="s">
        <v>6260</v>
      </c>
      <c r="X461" t="s">
        <v>407</v>
      </c>
      <c r="Y461" t="s">
        <v>6261</v>
      </c>
      <c r="Z461" t="s">
        <v>74</v>
      </c>
      <c r="AA461" t="s">
        <v>74</v>
      </c>
      <c r="AB461" t="s">
        <v>74</v>
      </c>
      <c r="AC461" t="s">
        <v>74</v>
      </c>
      <c r="AD461" t="s">
        <v>74</v>
      </c>
      <c r="AE461" t="s">
        <v>74</v>
      </c>
      <c r="AF461" t="s">
        <v>74</v>
      </c>
      <c r="AG461">
        <v>44</v>
      </c>
      <c r="AH461">
        <v>118</v>
      </c>
      <c r="AI461">
        <v>132</v>
      </c>
      <c r="AJ461">
        <v>1</v>
      </c>
      <c r="AK461">
        <v>23</v>
      </c>
      <c r="AL461" t="s">
        <v>230</v>
      </c>
      <c r="AM461" t="s">
        <v>231</v>
      </c>
      <c r="AN461" t="s">
        <v>232</v>
      </c>
      <c r="AO461" t="s">
        <v>410</v>
      </c>
      <c r="AP461" t="s">
        <v>411</v>
      </c>
      <c r="AQ461" t="s">
        <v>74</v>
      </c>
      <c r="AR461" t="s">
        <v>412</v>
      </c>
      <c r="AS461" t="s">
        <v>413</v>
      </c>
      <c r="AT461" t="s">
        <v>6239</v>
      </c>
      <c r="AU461">
        <v>1999</v>
      </c>
      <c r="AV461">
        <v>104</v>
      </c>
      <c r="AW461" t="s">
        <v>6262</v>
      </c>
      <c r="AX461" t="s">
        <v>74</v>
      </c>
      <c r="AY461" t="s">
        <v>74</v>
      </c>
      <c r="AZ461" t="s">
        <v>74</v>
      </c>
      <c r="BA461" t="s">
        <v>74</v>
      </c>
      <c r="BB461">
        <v>13235</v>
      </c>
      <c r="BC461">
        <v>13249</v>
      </c>
      <c r="BD461" t="s">
        <v>74</v>
      </c>
      <c r="BE461" t="s">
        <v>6263</v>
      </c>
      <c r="BF461" t="str">
        <f>HYPERLINK("http://dx.doi.org/10.1029/1999JC900062","http://dx.doi.org/10.1029/1999JC900062")</f>
        <v>http://dx.doi.org/10.1029/1999JC900062</v>
      </c>
      <c r="BG461" t="s">
        <v>74</v>
      </c>
      <c r="BH461" t="s">
        <v>74</v>
      </c>
      <c r="BI461">
        <v>15</v>
      </c>
      <c r="BJ461" t="s">
        <v>416</v>
      </c>
      <c r="BK461" t="s">
        <v>96</v>
      </c>
      <c r="BL461" t="s">
        <v>416</v>
      </c>
      <c r="BM461" t="s">
        <v>6264</v>
      </c>
      <c r="BN461" t="s">
        <v>74</v>
      </c>
      <c r="BO461" t="s">
        <v>74</v>
      </c>
      <c r="BP461" t="s">
        <v>74</v>
      </c>
      <c r="BQ461" t="s">
        <v>74</v>
      </c>
      <c r="BR461" t="s">
        <v>99</v>
      </c>
      <c r="BS461" t="s">
        <v>6265</v>
      </c>
      <c r="BT461" t="str">
        <f>HYPERLINK("https%3A%2F%2Fwww.webofscience.com%2Fwos%2Fwoscc%2Ffull-record%2FWOS:000080914900001","View Full Record in Web of Science")</f>
        <v>View Full Record in Web of Science</v>
      </c>
    </row>
    <row r="462" spans="1:72" x14ac:dyDescent="0.15">
      <c r="A462" t="s">
        <v>72</v>
      </c>
      <c r="B462" t="s">
        <v>6266</v>
      </c>
      <c r="C462" t="s">
        <v>74</v>
      </c>
      <c r="D462" t="s">
        <v>74</v>
      </c>
      <c r="E462" t="s">
        <v>74</v>
      </c>
      <c r="F462" t="s">
        <v>6266</v>
      </c>
      <c r="G462" t="s">
        <v>74</v>
      </c>
      <c r="H462" t="s">
        <v>74</v>
      </c>
      <c r="I462" t="s">
        <v>6267</v>
      </c>
      <c r="J462" t="s">
        <v>403</v>
      </c>
      <c r="K462" t="s">
        <v>74</v>
      </c>
      <c r="L462" t="s">
        <v>74</v>
      </c>
      <c r="M462" t="s">
        <v>77</v>
      </c>
      <c r="N462" t="s">
        <v>78</v>
      </c>
      <c r="O462" t="s">
        <v>74</v>
      </c>
      <c r="P462" t="s">
        <v>74</v>
      </c>
      <c r="Q462" t="s">
        <v>74</v>
      </c>
      <c r="R462" t="s">
        <v>74</v>
      </c>
      <c r="S462" t="s">
        <v>74</v>
      </c>
      <c r="T462" t="s">
        <v>74</v>
      </c>
      <c r="U462" t="s">
        <v>6268</v>
      </c>
      <c r="V462" t="s">
        <v>6269</v>
      </c>
      <c r="W462" t="s">
        <v>6270</v>
      </c>
      <c r="X462" t="s">
        <v>4692</v>
      </c>
      <c r="Y462" t="s">
        <v>6271</v>
      </c>
      <c r="Z462" t="s">
        <v>74</v>
      </c>
      <c r="AA462" t="s">
        <v>74</v>
      </c>
      <c r="AB462" t="s">
        <v>4694</v>
      </c>
      <c r="AC462" t="s">
        <v>74</v>
      </c>
      <c r="AD462" t="s">
        <v>74</v>
      </c>
      <c r="AE462" t="s">
        <v>74</v>
      </c>
      <c r="AF462" t="s">
        <v>74</v>
      </c>
      <c r="AG462">
        <v>49</v>
      </c>
      <c r="AH462">
        <v>40</v>
      </c>
      <c r="AI462">
        <v>44</v>
      </c>
      <c r="AJ462">
        <v>0</v>
      </c>
      <c r="AK462">
        <v>5</v>
      </c>
      <c r="AL462" t="s">
        <v>230</v>
      </c>
      <c r="AM462" t="s">
        <v>231</v>
      </c>
      <c r="AN462" t="s">
        <v>232</v>
      </c>
      <c r="AO462" t="s">
        <v>410</v>
      </c>
      <c r="AP462" t="s">
        <v>411</v>
      </c>
      <c r="AQ462" t="s">
        <v>74</v>
      </c>
      <c r="AR462" t="s">
        <v>412</v>
      </c>
      <c r="AS462" t="s">
        <v>413</v>
      </c>
      <c r="AT462" t="s">
        <v>6239</v>
      </c>
      <c r="AU462">
        <v>1999</v>
      </c>
      <c r="AV462">
        <v>104</v>
      </c>
      <c r="AW462" t="s">
        <v>6262</v>
      </c>
      <c r="AX462" t="s">
        <v>74</v>
      </c>
      <c r="AY462" t="s">
        <v>74</v>
      </c>
      <c r="AZ462" t="s">
        <v>74</v>
      </c>
      <c r="BA462" t="s">
        <v>74</v>
      </c>
      <c r="BB462">
        <v>13251</v>
      </c>
      <c r="BC462">
        <v>13267</v>
      </c>
      <c r="BD462" t="s">
        <v>74</v>
      </c>
      <c r="BE462" t="s">
        <v>6272</v>
      </c>
      <c r="BF462" t="str">
        <f>HYPERLINK("http://dx.doi.org/10.1029/1999JC900028","http://dx.doi.org/10.1029/1999JC900028")</f>
        <v>http://dx.doi.org/10.1029/1999JC900028</v>
      </c>
      <c r="BG462" t="s">
        <v>74</v>
      </c>
      <c r="BH462" t="s">
        <v>74</v>
      </c>
      <c r="BI462">
        <v>17</v>
      </c>
      <c r="BJ462" t="s">
        <v>416</v>
      </c>
      <c r="BK462" t="s">
        <v>96</v>
      </c>
      <c r="BL462" t="s">
        <v>416</v>
      </c>
      <c r="BM462" t="s">
        <v>6264</v>
      </c>
      <c r="BN462" t="s">
        <v>74</v>
      </c>
      <c r="BO462" t="s">
        <v>250</v>
      </c>
      <c r="BP462" t="s">
        <v>74</v>
      </c>
      <c r="BQ462" t="s">
        <v>74</v>
      </c>
      <c r="BR462" t="s">
        <v>99</v>
      </c>
      <c r="BS462" t="s">
        <v>6273</v>
      </c>
      <c r="BT462" t="str">
        <f>HYPERLINK("https%3A%2F%2Fwww.webofscience.com%2Fwos%2Fwoscc%2Ffull-record%2FWOS:000080914900002","View Full Record in Web of Science")</f>
        <v>View Full Record in Web of Science</v>
      </c>
    </row>
    <row r="463" spans="1:72" x14ac:dyDescent="0.15">
      <c r="A463" t="s">
        <v>72</v>
      </c>
      <c r="B463" t="s">
        <v>6274</v>
      </c>
      <c r="C463" t="s">
        <v>74</v>
      </c>
      <c r="D463" t="s">
        <v>74</v>
      </c>
      <c r="E463" t="s">
        <v>74</v>
      </c>
      <c r="F463" t="s">
        <v>6274</v>
      </c>
      <c r="G463" t="s">
        <v>74</v>
      </c>
      <c r="H463" t="s">
        <v>74</v>
      </c>
      <c r="I463" t="s">
        <v>6275</v>
      </c>
      <c r="J463" t="s">
        <v>403</v>
      </c>
      <c r="K463" t="s">
        <v>74</v>
      </c>
      <c r="L463" t="s">
        <v>74</v>
      </c>
      <c r="M463" t="s">
        <v>77</v>
      </c>
      <c r="N463" t="s">
        <v>78</v>
      </c>
      <c r="O463" t="s">
        <v>74</v>
      </c>
      <c r="P463" t="s">
        <v>74</v>
      </c>
      <c r="Q463" t="s">
        <v>74</v>
      </c>
      <c r="R463" t="s">
        <v>74</v>
      </c>
      <c r="S463" t="s">
        <v>74</v>
      </c>
      <c r="T463" t="s">
        <v>74</v>
      </c>
      <c r="U463" t="s">
        <v>6276</v>
      </c>
      <c r="V463" t="s">
        <v>6277</v>
      </c>
      <c r="W463" t="s">
        <v>6278</v>
      </c>
      <c r="X463" t="s">
        <v>6279</v>
      </c>
      <c r="Y463" t="s">
        <v>6280</v>
      </c>
      <c r="Z463" t="s">
        <v>6281</v>
      </c>
      <c r="AA463" t="s">
        <v>6282</v>
      </c>
      <c r="AB463" t="s">
        <v>6283</v>
      </c>
      <c r="AC463" t="s">
        <v>74</v>
      </c>
      <c r="AD463" t="s">
        <v>74</v>
      </c>
      <c r="AE463" t="s">
        <v>74</v>
      </c>
      <c r="AF463" t="s">
        <v>74</v>
      </c>
      <c r="AG463">
        <v>17</v>
      </c>
      <c r="AH463">
        <v>29</v>
      </c>
      <c r="AI463">
        <v>32</v>
      </c>
      <c r="AJ463">
        <v>0</v>
      </c>
      <c r="AK463">
        <v>2</v>
      </c>
      <c r="AL463" t="s">
        <v>230</v>
      </c>
      <c r="AM463" t="s">
        <v>231</v>
      </c>
      <c r="AN463" t="s">
        <v>232</v>
      </c>
      <c r="AO463" t="s">
        <v>410</v>
      </c>
      <c r="AP463" t="s">
        <v>411</v>
      </c>
      <c r="AQ463" t="s">
        <v>74</v>
      </c>
      <c r="AR463" t="s">
        <v>412</v>
      </c>
      <c r="AS463" t="s">
        <v>413</v>
      </c>
      <c r="AT463" t="s">
        <v>6239</v>
      </c>
      <c r="AU463">
        <v>1999</v>
      </c>
      <c r="AV463">
        <v>104</v>
      </c>
      <c r="AW463" t="s">
        <v>6262</v>
      </c>
      <c r="AX463" t="s">
        <v>74</v>
      </c>
      <c r="AY463" t="s">
        <v>74</v>
      </c>
      <c r="AZ463" t="s">
        <v>74</v>
      </c>
      <c r="BA463" t="s">
        <v>74</v>
      </c>
      <c r="BB463">
        <v>13317</v>
      </c>
      <c r="BC463">
        <v>13331</v>
      </c>
      <c r="BD463" t="s">
        <v>74</v>
      </c>
      <c r="BE463" t="s">
        <v>6284</v>
      </c>
      <c r="BF463" t="str">
        <f>HYPERLINK("http://dx.doi.org/10.1029/1999JC900052","http://dx.doi.org/10.1029/1999JC900052")</f>
        <v>http://dx.doi.org/10.1029/1999JC900052</v>
      </c>
      <c r="BG463" t="s">
        <v>74</v>
      </c>
      <c r="BH463" t="s">
        <v>74</v>
      </c>
      <c r="BI463">
        <v>15</v>
      </c>
      <c r="BJ463" t="s">
        <v>416</v>
      </c>
      <c r="BK463" t="s">
        <v>96</v>
      </c>
      <c r="BL463" t="s">
        <v>416</v>
      </c>
      <c r="BM463" t="s">
        <v>6264</v>
      </c>
      <c r="BN463" t="s">
        <v>74</v>
      </c>
      <c r="BO463" t="s">
        <v>250</v>
      </c>
      <c r="BP463" t="s">
        <v>74</v>
      </c>
      <c r="BQ463" t="s">
        <v>74</v>
      </c>
      <c r="BR463" t="s">
        <v>99</v>
      </c>
      <c r="BS463" t="s">
        <v>6285</v>
      </c>
      <c r="BT463" t="str">
        <f>HYPERLINK("https%3A%2F%2Fwww.webofscience.com%2Fwos%2Fwoscc%2Ffull-record%2FWOS:000080914900005","View Full Record in Web of Science")</f>
        <v>View Full Record in Web of Science</v>
      </c>
    </row>
    <row r="464" spans="1:72" x14ac:dyDescent="0.15">
      <c r="A464" t="s">
        <v>72</v>
      </c>
      <c r="B464" t="s">
        <v>6286</v>
      </c>
      <c r="C464" t="s">
        <v>74</v>
      </c>
      <c r="D464" t="s">
        <v>74</v>
      </c>
      <c r="E464" t="s">
        <v>74</v>
      </c>
      <c r="F464" t="s">
        <v>6286</v>
      </c>
      <c r="G464" t="s">
        <v>74</v>
      </c>
      <c r="H464" t="s">
        <v>74</v>
      </c>
      <c r="I464" t="s">
        <v>6287</v>
      </c>
      <c r="J464" t="s">
        <v>403</v>
      </c>
      <c r="K464" t="s">
        <v>74</v>
      </c>
      <c r="L464" t="s">
        <v>74</v>
      </c>
      <c r="M464" t="s">
        <v>77</v>
      </c>
      <c r="N464" t="s">
        <v>78</v>
      </c>
      <c r="O464" t="s">
        <v>74</v>
      </c>
      <c r="P464" t="s">
        <v>74</v>
      </c>
      <c r="Q464" t="s">
        <v>74</v>
      </c>
      <c r="R464" t="s">
        <v>74</v>
      </c>
      <c r="S464" t="s">
        <v>74</v>
      </c>
      <c r="T464" t="s">
        <v>74</v>
      </c>
      <c r="U464" t="s">
        <v>6288</v>
      </c>
      <c r="V464" t="s">
        <v>6289</v>
      </c>
      <c r="W464" t="s">
        <v>6290</v>
      </c>
      <c r="X464" t="s">
        <v>6291</v>
      </c>
      <c r="Y464" t="s">
        <v>6292</v>
      </c>
      <c r="Z464" t="s">
        <v>6293</v>
      </c>
      <c r="AA464" t="s">
        <v>6294</v>
      </c>
      <c r="AB464" t="s">
        <v>6295</v>
      </c>
      <c r="AC464" t="s">
        <v>74</v>
      </c>
      <c r="AD464" t="s">
        <v>74</v>
      </c>
      <c r="AE464" t="s">
        <v>74</v>
      </c>
      <c r="AF464" t="s">
        <v>74</v>
      </c>
      <c r="AG464">
        <v>59</v>
      </c>
      <c r="AH464">
        <v>251</v>
      </c>
      <c r="AI464">
        <v>266</v>
      </c>
      <c r="AJ464">
        <v>2</v>
      </c>
      <c r="AK464">
        <v>28</v>
      </c>
      <c r="AL464" t="s">
        <v>230</v>
      </c>
      <c r="AM464" t="s">
        <v>231</v>
      </c>
      <c r="AN464" t="s">
        <v>232</v>
      </c>
      <c r="AO464" t="s">
        <v>410</v>
      </c>
      <c r="AP464" t="s">
        <v>411</v>
      </c>
      <c r="AQ464" t="s">
        <v>74</v>
      </c>
      <c r="AR464" t="s">
        <v>412</v>
      </c>
      <c r="AS464" t="s">
        <v>413</v>
      </c>
      <c r="AT464" t="s">
        <v>6239</v>
      </c>
      <c r="AU464">
        <v>1999</v>
      </c>
      <c r="AV464">
        <v>104</v>
      </c>
      <c r="AW464" t="s">
        <v>6262</v>
      </c>
      <c r="AX464" t="s">
        <v>74</v>
      </c>
      <c r="AY464" t="s">
        <v>74</v>
      </c>
      <c r="AZ464" t="s">
        <v>74</v>
      </c>
      <c r="BA464" t="s">
        <v>74</v>
      </c>
      <c r="BB464">
        <v>13395</v>
      </c>
      <c r="BC464">
        <v>13408</v>
      </c>
      <c r="BD464" t="s">
        <v>74</v>
      </c>
      <c r="BE464" t="s">
        <v>6296</v>
      </c>
      <c r="BF464" t="str">
        <f>HYPERLINK("http://dx.doi.org/10.1029/1999JC900009","http://dx.doi.org/10.1029/1999JC900009")</f>
        <v>http://dx.doi.org/10.1029/1999JC900009</v>
      </c>
      <c r="BG464" t="s">
        <v>74</v>
      </c>
      <c r="BH464" t="s">
        <v>74</v>
      </c>
      <c r="BI464">
        <v>14</v>
      </c>
      <c r="BJ464" t="s">
        <v>416</v>
      </c>
      <c r="BK464" t="s">
        <v>96</v>
      </c>
      <c r="BL464" t="s">
        <v>416</v>
      </c>
      <c r="BM464" t="s">
        <v>6264</v>
      </c>
      <c r="BN464" t="s">
        <v>74</v>
      </c>
      <c r="BO464" t="s">
        <v>6297</v>
      </c>
      <c r="BP464" t="s">
        <v>74</v>
      </c>
      <c r="BQ464" t="s">
        <v>74</v>
      </c>
      <c r="BR464" t="s">
        <v>99</v>
      </c>
      <c r="BS464" t="s">
        <v>6298</v>
      </c>
      <c r="BT464" t="str">
        <f>HYPERLINK("https%3A%2F%2Fwww.webofscience.com%2Fwos%2Fwoscc%2Ffull-record%2FWOS:000080914900010","View Full Record in Web of Science")</f>
        <v>View Full Record in Web of Science</v>
      </c>
    </row>
    <row r="465" spans="1:72" x14ac:dyDescent="0.15">
      <c r="A465" t="s">
        <v>72</v>
      </c>
      <c r="B465" t="s">
        <v>6299</v>
      </c>
      <c r="C465" t="s">
        <v>74</v>
      </c>
      <c r="D465" t="s">
        <v>74</v>
      </c>
      <c r="E465" t="s">
        <v>74</v>
      </c>
      <c r="F465" t="s">
        <v>6299</v>
      </c>
      <c r="G465" t="s">
        <v>74</v>
      </c>
      <c r="H465" t="s">
        <v>74</v>
      </c>
      <c r="I465" t="s">
        <v>6300</v>
      </c>
      <c r="J465" t="s">
        <v>403</v>
      </c>
      <c r="K465" t="s">
        <v>74</v>
      </c>
      <c r="L465" t="s">
        <v>74</v>
      </c>
      <c r="M465" t="s">
        <v>77</v>
      </c>
      <c r="N465" t="s">
        <v>78</v>
      </c>
      <c r="O465" t="s">
        <v>74</v>
      </c>
      <c r="P465" t="s">
        <v>74</v>
      </c>
      <c r="Q465" t="s">
        <v>74</v>
      </c>
      <c r="R465" t="s">
        <v>74</v>
      </c>
      <c r="S465" t="s">
        <v>74</v>
      </c>
      <c r="T465" t="s">
        <v>74</v>
      </c>
      <c r="U465" t="s">
        <v>6301</v>
      </c>
      <c r="V465" t="s">
        <v>6302</v>
      </c>
      <c r="W465" t="s">
        <v>151</v>
      </c>
      <c r="X465" t="s">
        <v>131</v>
      </c>
      <c r="Y465" t="s">
        <v>152</v>
      </c>
      <c r="Z465" t="s">
        <v>74</v>
      </c>
      <c r="AA465" t="s">
        <v>6303</v>
      </c>
      <c r="AB465" t="s">
        <v>6304</v>
      </c>
      <c r="AC465" t="s">
        <v>74</v>
      </c>
      <c r="AD465" t="s">
        <v>74</v>
      </c>
      <c r="AE465" t="s">
        <v>74</v>
      </c>
      <c r="AF465" t="s">
        <v>74</v>
      </c>
      <c r="AG465">
        <v>58</v>
      </c>
      <c r="AH465">
        <v>65</v>
      </c>
      <c r="AI465">
        <v>70</v>
      </c>
      <c r="AJ465">
        <v>0</v>
      </c>
      <c r="AK465">
        <v>7</v>
      </c>
      <c r="AL465" t="s">
        <v>230</v>
      </c>
      <c r="AM465" t="s">
        <v>231</v>
      </c>
      <c r="AN465" t="s">
        <v>232</v>
      </c>
      <c r="AO465" t="s">
        <v>410</v>
      </c>
      <c r="AP465" t="s">
        <v>411</v>
      </c>
      <c r="AQ465" t="s">
        <v>74</v>
      </c>
      <c r="AR465" t="s">
        <v>412</v>
      </c>
      <c r="AS465" t="s">
        <v>413</v>
      </c>
      <c r="AT465" t="s">
        <v>6239</v>
      </c>
      <c r="AU465">
        <v>1999</v>
      </c>
      <c r="AV465">
        <v>104</v>
      </c>
      <c r="AW465" t="s">
        <v>6262</v>
      </c>
      <c r="AX465" t="s">
        <v>74</v>
      </c>
      <c r="AY465" t="s">
        <v>74</v>
      </c>
      <c r="AZ465" t="s">
        <v>74</v>
      </c>
      <c r="BA465" t="s">
        <v>74</v>
      </c>
      <c r="BB465">
        <v>13449</v>
      </c>
      <c r="BC465">
        <v>13465</v>
      </c>
      <c r="BD465" t="s">
        <v>74</v>
      </c>
      <c r="BE465" t="s">
        <v>6305</v>
      </c>
      <c r="BF465" t="str">
        <f>HYPERLINK("http://dx.doi.org/10.1029/1999JC900008","http://dx.doi.org/10.1029/1999JC900008")</f>
        <v>http://dx.doi.org/10.1029/1999JC900008</v>
      </c>
      <c r="BG465" t="s">
        <v>74</v>
      </c>
      <c r="BH465" t="s">
        <v>74</v>
      </c>
      <c r="BI465">
        <v>17</v>
      </c>
      <c r="BJ465" t="s">
        <v>416</v>
      </c>
      <c r="BK465" t="s">
        <v>96</v>
      </c>
      <c r="BL465" t="s">
        <v>416</v>
      </c>
      <c r="BM465" t="s">
        <v>6264</v>
      </c>
      <c r="BN465" t="s">
        <v>74</v>
      </c>
      <c r="BO465" t="s">
        <v>74</v>
      </c>
      <c r="BP465" t="s">
        <v>74</v>
      </c>
      <c r="BQ465" t="s">
        <v>74</v>
      </c>
      <c r="BR465" t="s">
        <v>99</v>
      </c>
      <c r="BS465" t="s">
        <v>6306</v>
      </c>
      <c r="BT465" t="str">
        <f>HYPERLINK("https%3A%2F%2Fwww.webofscience.com%2Fwos%2Fwoscc%2Ffull-record%2FWOS:000080914900014","View Full Record in Web of Science")</f>
        <v>View Full Record in Web of Science</v>
      </c>
    </row>
    <row r="466" spans="1:72" x14ac:dyDescent="0.15">
      <c r="A466" t="s">
        <v>72</v>
      </c>
      <c r="B466" t="s">
        <v>6307</v>
      </c>
      <c r="C466" t="s">
        <v>74</v>
      </c>
      <c r="D466" t="s">
        <v>74</v>
      </c>
      <c r="E466" t="s">
        <v>74</v>
      </c>
      <c r="F466" t="s">
        <v>6307</v>
      </c>
      <c r="G466" t="s">
        <v>74</v>
      </c>
      <c r="H466" t="s">
        <v>74</v>
      </c>
      <c r="I466" t="s">
        <v>6308</v>
      </c>
      <c r="J466" t="s">
        <v>403</v>
      </c>
      <c r="K466" t="s">
        <v>74</v>
      </c>
      <c r="L466" t="s">
        <v>74</v>
      </c>
      <c r="M466" t="s">
        <v>77</v>
      </c>
      <c r="N466" t="s">
        <v>78</v>
      </c>
      <c r="O466" t="s">
        <v>74</v>
      </c>
      <c r="P466" t="s">
        <v>74</v>
      </c>
      <c r="Q466" t="s">
        <v>74</v>
      </c>
      <c r="R466" t="s">
        <v>74</v>
      </c>
      <c r="S466" t="s">
        <v>74</v>
      </c>
      <c r="T466" t="s">
        <v>74</v>
      </c>
      <c r="U466" t="s">
        <v>6309</v>
      </c>
      <c r="V466" t="s">
        <v>6310</v>
      </c>
      <c r="W466" t="s">
        <v>6311</v>
      </c>
      <c r="X466" t="s">
        <v>6312</v>
      </c>
      <c r="Y466" t="s">
        <v>6313</v>
      </c>
      <c r="Z466" t="s">
        <v>6314</v>
      </c>
      <c r="AA466" t="s">
        <v>74</v>
      </c>
      <c r="AB466" t="s">
        <v>74</v>
      </c>
      <c r="AC466" t="s">
        <v>74</v>
      </c>
      <c r="AD466" t="s">
        <v>74</v>
      </c>
      <c r="AE466" t="s">
        <v>74</v>
      </c>
      <c r="AF466" t="s">
        <v>74</v>
      </c>
      <c r="AG466">
        <v>12</v>
      </c>
      <c r="AH466">
        <v>3</v>
      </c>
      <c r="AI466">
        <v>4</v>
      </c>
      <c r="AJ466">
        <v>0</v>
      </c>
      <c r="AK466">
        <v>0</v>
      </c>
      <c r="AL466" t="s">
        <v>230</v>
      </c>
      <c r="AM466" t="s">
        <v>231</v>
      </c>
      <c r="AN466" t="s">
        <v>232</v>
      </c>
      <c r="AO466" t="s">
        <v>410</v>
      </c>
      <c r="AP466" t="s">
        <v>411</v>
      </c>
      <c r="AQ466" t="s">
        <v>74</v>
      </c>
      <c r="AR466" t="s">
        <v>412</v>
      </c>
      <c r="AS466" t="s">
        <v>413</v>
      </c>
      <c r="AT466" t="s">
        <v>6239</v>
      </c>
      <c r="AU466">
        <v>1999</v>
      </c>
      <c r="AV466">
        <v>104</v>
      </c>
      <c r="AW466" t="s">
        <v>6262</v>
      </c>
      <c r="AX466" t="s">
        <v>74</v>
      </c>
      <c r="AY466" t="s">
        <v>74</v>
      </c>
      <c r="AZ466" t="s">
        <v>74</v>
      </c>
      <c r="BA466" t="s">
        <v>74</v>
      </c>
      <c r="BB466">
        <v>13615</v>
      </c>
      <c r="BC466">
        <v>13625</v>
      </c>
      <c r="BD466" t="s">
        <v>74</v>
      </c>
      <c r="BE466" t="s">
        <v>6315</v>
      </c>
      <c r="BF466" t="str">
        <f>HYPERLINK("http://dx.doi.org/10.1029/1998JC900125","http://dx.doi.org/10.1029/1998JC900125")</f>
        <v>http://dx.doi.org/10.1029/1998JC900125</v>
      </c>
      <c r="BG466" t="s">
        <v>74</v>
      </c>
      <c r="BH466" t="s">
        <v>74</v>
      </c>
      <c r="BI466">
        <v>11</v>
      </c>
      <c r="BJ466" t="s">
        <v>416</v>
      </c>
      <c r="BK466" t="s">
        <v>96</v>
      </c>
      <c r="BL466" t="s">
        <v>416</v>
      </c>
      <c r="BM466" t="s">
        <v>6264</v>
      </c>
      <c r="BN466" t="s">
        <v>74</v>
      </c>
      <c r="BO466" t="s">
        <v>74</v>
      </c>
      <c r="BP466" t="s">
        <v>74</v>
      </c>
      <c r="BQ466" t="s">
        <v>74</v>
      </c>
      <c r="BR466" t="s">
        <v>99</v>
      </c>
      <c r="BS466" t="s">
        <v>6316</v>
      </c>
      <c r="BT466" t="str">
        <f>HYPERLINK("https%3A%2F%2Fwww.webofscience.com%2Fwos%2Fwoscc%2Ffull-record%2FWOS:000080914900025","View Full Record in Web of Science")</f>
        <v>View Full Record in Web of Science</v>
      </c>
    </row>
    <row r="467" spans="1:72" x14ac:dyDescent="0.15">
      <c r="A467" t="s">
        <v>72</v>
      </c>
      <c r="B467" t="s">
        <v>6317</v>
      </c>
      <c r="C467" t="s">
        <v>74</v>
      </c>
      <c r="D467" t="s">
        <v>74</v>
      </c>
      <c r="E467" t="s">
        <v>74</v>
      </c>
      <c r="F467" t="s">
        <v>6317</v>
      </c>
      <c r="G467" t="s">
        <v>74</v>
      </c>
      <c r="H467" t="s">
        <v>74</v>
      </c>
      <c r="I467" t="s">
        <v>6318</v>
      </c>
      <c r="J467" t="s">
        <v>403</v>
      </c>
      <c r="K467" t="s">
        <v>74</v>
      </c>
      <c r="L467" t="s">
        <v>74</v>
      </c>
      <c r="M467" t="s">
        <v>77</v>
      </c>
      <c r="N467" t="s">
        <v>78</v>
      </c>
      <c r="O467" t="s">
        <v>74</v>
      </c>
      <c r="P467" t="s">
        <v>74</v>
      </c>
      <c r="Q467" t="s">
        <v>74</v>
      </c>
      <c r="R467" t="s">
        <v>74</v>
      </c>
      <c r="S467" t="s">
        <v>74</v>
      </c>
      <c r="T467" t="s">
        <v>74</v>
      </c>
      <c r="U467" t="s">
        <v>6319</v>
      </c>
      <c r="V467" t="s">
        <v>6320</v>
      </c>
      <c r="W467" t="s">
        <v>6321</v>
      </c>
      <c r="X467" t="s">
        <v>6322</v>
      </c>
      <c r="Y467" t="s">
        <v>6323</v>
      </c>
      <c r="Z467" t="s">
        <v>1714</v>
      </c>
      <c r="AA467" t="s">
        <v>6324</v>
      </c>
      <c r="AB467" t="s">
        <v>6325</v>
      </c>
      <c r="AC467" t="s">
        <v>74</v>
      </c>
      <c r="AD467" t="s">
        <v>74</v>
      </c>
      <c r="AE467" t="s">
        <v>74</v>
      </c>
      <c r="AF467" t="s">
        <v>74</v>
      </c>
      <c r="AG467">
        <v>63</v>
      </c>
      <c r="AH467">
        <v>87</v>
      </c>
      <c r="AI467">
        <v>94</v>
      </c>
      <c r="AJ467">
        <v>0</v>
      </c>
      <c r="AK467">
        <v>12</v>
      </c>
      <c r="AL467" t="s">
        <v>230</v>
      </c>
      <c r="AM467" t="s">
        <v>231</v>
      </c>
      <c r="AN467" t="s">
        <v>232</v>
      </c>
      <c r="AO467" t="s">
        <v>410</v>
      </c>
      <c r="AP467" t="s">
        <v>411</v>
      </c>
      <c r="AQ467" t="s">
        <v>74</v>
      </c>
      <c r="AR467" t="s">
        <v>412</v>
      </c>
      <c r="AS467" t="s">
        <v>413</v>
      </c>
      <c r="AT467" t="s">
        <v>6239</v>
      </c>
      <c r="AU467">
        <v>1999</v>
      </c>
      <c r="AV467">
        <v>104</v>
      </c>
      <c r="AW467" t="s">
        <v>6262</v>
      </c>
      <c r="AX467" t="s">
        <v>74</v>
      </c>
      <c r="AY467" t="s">
        <v>74</v>
      </c>
      <c r="AZ467" t="s">
        <v>74</v>
      </c>
      <c r="BA467" t="s">
        <v>74</v>
      </c>
      <c r="BB467">
        <v>13681</v>
      </c>
      <c r="BC467">
        <v>13695</v>
      </c>
      <c r="BD467" t="s">
        <v>74</v>
      </c>
      <c r="BE467" t="s">
        <v>6326</v>
      </c>
      <c r="BF467" t="str">
        <f>HYPERLINK("http://dx.doi.org/10.1029/1999JC900099","http://dx.doi.org/10.1029/1999JC900099")</f>
        <v>http://dx.doi.org/10.1029/1999JC900099</v>
      </c>
      <c r="BG467" t="s">
        <v>74</v>
      </c>
      <c r="BH467" t="s">
        <v>74</v>
      </c>
      <c r="BI467">
        <v>15</v>
      </c>
      <c r="BJ467" t="s">
        <v>416</v>
      </c>
      <c r="BK467" t="s">
        <v>96</v>
      </c>
      <c r="BL467" t="s">
        <v>416</v>
      </c>
      <c r="BM467" t="s">
        <v>6264</v>
      </c>
      <c r="BN467" t="s">
        <v>74</v>
      </c>
      <c r="BO467" t="s">
        <v>518</v>
      </c>
      <c r="BP467" t="s">
        <v>74</v>
      </c>
      <c r="BQ467" t="s">
        <v>74</v>
      </c>
      <c r="BR467" t="s">
        <v>99</v>
      </c>
      <c r="BS467" t="s">
        <v>6327</v>
      </c>
      <c r="BT467" t="str">
        <f>HYPERLINK("https%3A%2F%2Fwww.webofscience.com%2Fwos%2Fwoscc%2Ffull-record%2FWOS:000080914900029","View Full Record in Web of Science")</f>
        <v>View Full Record in Web of Science</v>
      </c>
    </row>
    <row r="468" spans="1:72" x14ac:dyDescent="0.15">
      <c r="A468" t="s">
        <v>72</v>
      </c>
      <c r="B468" t="s">
        <v>6328</v>
      </c>
      <c r="C468" t="s">
        <v>74</v>
      </c>
      <c r="D468" t="s">
        <v>74</v>
      </c>
      <c r="E468" t="s">
        <v>74</v>
      </c>
      <c r="F468" t="s">
        <v>6328</v>
      </c>
      <c r="G468" t="s">
        <v>74</v>
      </c>
      <c r="H468" t="s">
        <v>74</v>
      </c>
      <c r="I468" t="s">
        <v>6329</v>
      </c>
      <c r="J468" t="s">
        <v>6330</v>
      </c>
      <c r="K468" t="s">
        <v>74</v>
      </c>
      <c r="L468" t="s">
        <v>74</v>
      </c>
      <c r="M468" t="s">
        <v>77</v>
      </c>
      <c r="N468" t="s">
        <v>78</v>
      </c>
      <c r="O468" t="s">
        <v>74</v>
      </c>
      <c r="P468" t="s">
        <v>74</v>
      </c>
      <c r="Q468" t="s">
        <v>74</v>
      </c>
      <c r="R468" t="s">
        <v>74</v>
      </c>
      <c r="S468" t="s">
        <v>74</v>
      </c>
      <c r="T468" t="s">
        <v>74</v>
      </c>
      <c r="U468" t="s">
        <v>6331</v>
      </c>
      <c r="V468" t="s">
        <v>6332</v>
      </c>
      <c r="W468" t="s">
        <v>6333</v>
      </c>
      <c r="X468" t="s">
        <v>6334</v>
      </c>
      <c r="Y468" t="s">
        <v>6335</v>
      </c>
      <c r="Z468" t="s">
        <v>74</v>
      </c>
      <c r="AA468" t="s">
        <v>6336</v>
      </c>
      <c r="AB468" t="s">
        <v>6337</v>
      </c>
      <c r="AC468" t="s">
        <v>74</v>
      </c>
      <c r="AD468" t="s">
        <v>74</v>
      </c>
      <c r="AE468" t="s">
        <v>74</v>
      </c>
      <c r="AF468" t="s">
        <v>74</v>
      </c>
      <c r="AG468">
        <v>30</v>
      </c>
      <c r="AH468">
        <v>9</v>
      </c>
      <c r="AI468">
        <v>10</v>
      </c>
      <c r="AJ468">
        <v>0</v>
      </c>
      <c r="AK468">
        <v>0</v>
      </c>
      <c r="AL468" t="s">
        <v>86</v>
      </c>
      <c r="AM468" t="s">
        <v>87</v>
      </c>
      <c r="AN468" t="s">
        <v>88</v>
      </c>
      <c r="AO468" t="s">
        <v>6338</v>
      </c>
      <c r="AP468" t="s">
        <v>74</v>
      </c>
      <c r="AQ468" t="s">
        <v>74</v>
      </c>
      <c r="AR468" t="s">
        <v>6339</v>
      </c>
      <c r="AS468" t="s">
        <v>6340</v>
      </c>
      <c r="AT468" t="s">
        <v>6239</v>
      </c>
      <c r="AU468">
        <v>1999</v>
      </c>
      <c r="AV468">
        <v>56</v>
      </c>
      <c r="AW468">
        <v>12</v>
      </c>
      <c r="AX468" t="s">
        <v>74</v>
      </c>
      <c r="AY468" t="s">
        <v>74</v>
      </c>
      <c r="AZ468" t="s">
        <v>74</v>
      </c>
      <c r="BA468" t="s">
        <v>74</v>
      </c>
      <c r="BB468">
        <v>1873</v>
      </c>
      <c r="BC468">
        <v>1884</v>
      </c>
      <c r="BD468" t="s">
        <v>74</v>
      </c>
      <c r="BE468" t="s">
        <v>6341</v>
      </c>
      <c r="BF468" t="str">
        <f>HYPERLINK("http://dx.doi.org/10.1175/1520-0469(1999)056&lt;1873:IVOTAO&gt;2.0.CO;2","http://dx.doi.org/10.1175/1520-0469(1999)056&lt;1873:IVOTAO&gt;2.0.CO;2")</f>
        <v>http://dx.doi.org/10.1175/1520-0469(1999)056&lt;1873:IVOTAO&gt;2.0.CO;2</v>
      </c>
      <c r="BG468" t="s">
        <v>74</v>
      </c>
      <c r="BH468" t="s">
        <v>74</v>
      </c>
      <c r="BI468">
        <v>12</v>
      </c>
      <c r="BJ468" t="s">
        <v>95</v>
      </c>
      <c r="BK468" t="s">
        <v>96</v>
      </c>
      <c r="BL468" t="s">
        <v>95</v>
      </c>
      <c r="BM468" t="s">
        <v>6342</v>
      </c>
      <c r="BN468" t="s">
        <v>74</v>
      </c>
      <c r="BO468" t="s">
        <v>250</v>
      </c>
      <c r="BP468" t="s">
        <v>74</v>
      </c>
      <c r="BQ468" t="s">
        <v>74</v>
      </c>
      <c r="BR468" t="s">
        <v>99</v>
      </c>
      <c r="BS468" t="s">
        <v>6343</v>
      </c>
      <c r="BT468" t="str">
        <f>HYPERLINK("https%3A%2F%2Fwww.webofscience.com%2Fwos%2Fwoscc%2Ffull-record%2FWOS:000081135900007","View Full Record in Web of Science")</f>
        <v>View Full Record in Web of Science</v>
      </c>
    </row>
    <row r="469" spans="1:72" x14ac:dyDescent="0.15">
      <c r="A469" t="s">
        <v>72</v>
      </c>
      <c r="B469" t="s">
        <v>6344</v>
      </c>
      <c r="C469" t="s">
        <v>74</v>
      </c>
      <c r="D469" t="s">
        <v>74</v>
      </c>
      <c r="E469" t="s">
        <v>74</v>
      </c>
      <c r="F469" t="s">
        <v>6344</v>
      </c>
      <c r="G469" t="s">
        <v>74</v>
      </c>
      <c r="H469" t="s">
        <v>74</v>
      </c>
      <c r="I469" t="s">
        <v>6345</v>
      </c>
      <c r="J469" t="s">
        <v>6330</v>
      </c>
      <c r="K469" t="s">
        <v>74</v>
      </c>
      <c r="L469" t="s">
        <v>74</v>
      </c>
      <c r="M469" t="s">
        <v>77</v>
      </c>
      <c r="N469" t="s">
        <v>78</v>
      </c>
      <c r="O469" t="s">
        <v>74</v>
      </c>
      <c r="P469" t="s">
        <v>74</v>
      </c>
      <c r="Q469" t="s">
        <v>74</v>
      </c>
      <c r="R469" t="s">
        <v>74</v>
      </c>
      <c r="S469" t="s">
        <v>74</v>
      </c>
      <c r="T469" t="s">
        <v>74</v>
      </c>
      <c r="U469" t="s">
        <v>6346</v>
      </c>
      <c r="V469" t="s">
        <v>6347</v>
      </c>
      <c r="W469" t="s">
        <v>6348</v>
      </c>
      <c r="X469" t="s">
        <v>6349</v>
      </c>
      <c r="Y469" t="s">
        <v>6350</v>
      </c>
      <c r="Z469" t="s">
        <v>74</v>
      </c>
      <c r="AA469" t="s">
        <v>74</v>
      </c>
      <c r="AB469" t="s">
        <v>6351</v>
      </c>
      <c r="AC469" t="s">
        <v>74</v>
      </c>
      <c r="AD469" t="s">
        <v>74</v>
      </c>
      <c r="AE469" t="s">
        <v>74</v>
      </c>
      <c r="AF469" t="s">
        <v>74</v>
      </c>
      <c r="AG469">
        <v>42</v>
      </c>
      <c r="AH469">
        <v>42</v>
      </c>
      <c r="AI469">
        <v>43</v>
      </c>
      <c r="AJ469">
        <v>0</v>
      </c>
      <c r="AK469">
        <v>5</v>
      </c>
      <c r="AL469" t="s">
        <v>86</v>
      </c>
      <c r="AM469" t="s">
        <v>87</v>
      </c>
      <c r="AN469" t="s">
        <v>88</v>
      </c>
      <c r="AO469" t="s">
        <v>6338</v>
      </c>
      <c r="AP469" t="s">
        <v>74</v>
      </c>
      <c r="AQ469" t="s">
        <v>74</v>
      </c>
      <c r="AR469" t="s">
        <v>6339</v>
      </c>
      <c r="AS469" t="s">
        <v>6340</v>
      </c>
      <c r="AT469" t="s">
        <v>6239</v>
      </c>
      <c r="AU469">
        <v>1999</v>
      </c>
      <c r="AV469">
        <v>56</v>
      </c>
      <c r="AW469">
        <v>12</v>
      </c>
      <c r="AX469" t="s">
        <v>74</v>
      </c>
      <c r="AY469" t="s">
        <v>74</v>
      </c>
      <c r="AZ469" t="s">
        <v>74</v>
      </c>
      <c r="BA469" t="s">
        <v>74</v>
      </c>
      <c r="BB469">
        <v>1942</v>
      </c>
      <c r="BC469">
        <v>1962</v>
      </c>
      <c r="BD469" t="s">
        <v>74</v>
      </c>
      <c r="BE469" t="s">
        <v>6352</v>
      </c>
      <c r="BF469" t="str">
        <f>HYPERLINK("http://dx.doi.org/10.1175/1520-0469(1999)056&lt;1942:MFTEQI&gt;2.0.CO;2","http://dx.doi.org/10.1175/1520-0469(1999)056&lt;1942:MFTEQI&gt;2.0.CO;2")</f>
        <v>http://dx.doi.org/10.1175/1520-0469(1999)056&lt;1942:MFTEQI&gt;2.0.CO;2</v>
      </c>
      <c r="BG469" t="s">
        <v>74</v>
      </c>
      <c r="BH469" t="s">
        <v>74</v>
      </c>
      <c r="BI469">
        <v>21</v>
      </c>
      <c r="BJ469" t="s">
        <v>95</v>
      </c>
      <c r="BK469" t="s">
        <v>96</v>
      </c>
      <c r="BL469" t="s">
        <v>95</v>
      </c>
      <c r="BM469" t="s">
        <v>6342</v>
      </c>
      <c r="BN469" t="s">
        <v>74</v>
      </c>
      <c r="BO469" t="s">
        <v>250</v>
      </c>
      <c r="BP469" t="s">
        <v>74</v>
      </c>
      <c r="BQ469" t="s">
        <v>74</v>
      </c>
      <c r="BR469" t="s">
        <v>99</v>
      </c>
      <c r="BS469" t="s">
        <v>6353</v>
      </c>
      <c r="BT469" t="str">
        <f>HYPERLINK("https%3A%2F%2Fwww.webofscience.com%2Fwos%2Fwoscc%2Ffull-record%2FWOS:000081135900011","View Full Record in Web of Science")</f>
        <v>View Full Record in Web of Science</v>
      </c>
    </row>
    <row r="470" spans="1:72" x14ac:dyDescent="0.15">
      <c r="A470" t="s">
        <v>72</v>
      </c>
      <c r="B470" t="s">
        <v>6354</v>
      </c>
      <c r="C470" t="s">
        <v>74</v>
      </c>
      <c r="D470" t="s">
        <v>74</v>
      </c>
      <c r="E470" t="s">
        <v>74</v>
      </c>
      <c r="F470" t="s">
        <v>6354</v>
      </c>
      <c r="G470" t="s">
        <v>74</v>
      </c>
      <c r="H470" t="s">
        <v>74</v>
      </c>
      <c r="I470" t="s">
        <v>6355</v>
      </c>
      <c r="J470" t="s">
        <v>1337</v>
      </c>
      <c r="K470" t="s">
        <v>74</v>
      </c>
      <c r="L470" t="s">
        <v>74</v>
      </c>
      <c r="M470" t="s">
        <v>77</v>
      </c>
      <c r="N470" t="s">
        <v>123</v>
      </c>
      <c r="O470" t="s">
        <v>6356</v>
      </c>
      <c r="P470" t="s">
        <v>6357</v>
      </c>
      <c r="Q470" t="s">
        <v>6358</v>
      </c>
      <c r="R470" t="s">
        <v>74</v>
      </c>
      <c r="S470" t="s">
        <v>74</v>
      </c>
      <c r="T470" t="s">
        <v>6359</v>
      </c>
      <c r="U470" t="s">
        <v>6360</v>
      </c>
      <c r="V470" t="s">
        <v>6361</v>
      </c>
      <c r="W470" t="s">
        <v>6362</v>
      </c>
      <c r="X470" t="s">
        <v>6363</v>
      </c>
      <c r="Y470" t="s">
        <v>6364</v>
      </c>
      <c r="Z470" t="s">
        <v>6365</v>
      </c>
      <c r="AA470" t="s">
        <v>6366</v>
      </c>
      <c r="AB470" t="s">
        <v>74</v>
      </c>
      <c r="AC470" t="s">
        <v>74</v>
      </c>
      <c r="AD470" t="s">
        <v>74</v>
      </c>
      <c r="AE470" t="s">
        <v>74</v>
      </c>
      <c r="AF470" t="s">
        <v>74</v>
      </c>
      <c r="AG470">
        <v>58</v>
      </c>
      <c r="AH470">
        <v>36</v>
      </c>
      <c r="AI470">
        <v>47</v>
      </c>
      <c r="AJ470">
        <v>0</v>
      </c>
      <c r="AK470">
        <v>1</v>
      </c>
      <c r="AL470" t="s">
        <v>210</v>
      </c>
      <c r="AM470" t="s">
        <v>211</v>
      </c>
      <c r="AN470" t="s">
        <v>212</v>
      </c>
      <c r="AO470" t="s">
        <v>1345</v>
      </c>
      <c r="AP470" t="s">
        <v>1346</v>
      </c>
      <c r="AQ470" t="s">
        <v>74</v>
      </c>
      <c r="AR470" t="s">
        <v>1347</v>
      </c>
      <c r="AS470" t="s">
        <v>1348</v>
      </c>
      <c r="AT470" t="s">
        <v>6239</v>
      </c>
      <c r="AU470">
        <v>1999</v>
      </c>
      <c r="AV470">
        <v>150</v>
      </c>
      <c r="AW470" t="s">
        <v>1614</v>
      </c>
      <c r="AX470" t="s">
        <v>74</v>
      </c>
      <c r="AY470" t="s">
        <v>74</v>
      </c>
      <c r="AZ470" t="s">
        <v>74</v>
      </c>
      <c r="BA470" t="s">
        <v>74</v>
      </c>
      <c r="BB470">
        <v>33</v>
      </c>
      <c r="BC470">
        <v>47</v>
      </c>
      <c r="BD470" t="s">
        <v>74</v>
      </c>
      <c r="BE470" t="s">
        <v>6367</v>
      </c>
      <c r="BF470" t="str">
        <f>HYPERLINK("http://dx.doi.org/10.1016/S0031-0182(99)00006-1","http://dx.doi.org/10.1016/S0031-0182(99)00006-1")</f>
        <v>http://dx.doi.org/10.1016/S0031-0182(99)00006-1</v>
      </c>
      <c r="BG470" t="s">
        <v>74</v>
      </c>
      <c r="BH470" t="s">
        <v>74</v>
      </c>
      <c r="BI470">
        <v>15</v>
      </c>
      <c r="BJ470" t="s">
        <v>1350</v>
      </c>
      <c r="BK470" t="s">
        <v>156</v>
      </c>
      <c r="BL470" t="s">
        <v>1351</v>
      </c>
      <c r="BM470" t="s">
        <v>6368</v>
      </c>
      <c r="BN470" t="s">
        <v>74</v>
      </c>
      <c r="BO470" t="s">
        <v>74</v>
      </c>
      <c r="BP470" t="s">
        <v>74</v>
      </c>
      <c r="BQ470" t="s">
        <v>74</v>
      </c>
      <c r="BR470" t="s">
        <v>99</v>
      </c>
      <c r="BS470" t="s">
        <v>6369</v>
      </c>
      <c r="BT470" t="str">
        <f>HYPERLINK("https%3A%2F%2Fwww.webofscience.com%2Fwos%2Fwoscc%2Ffull-record%2FWOS:000081062000005","View Full Record in Web of Science")</f>
        <v>View Full Record in Web of Science</v>
      </c>
    </row>
    <row r="471" spans="1:72" x14ac:dyDescent="0.15">
      <c r="A471" t="s">
        <v>72</v>
      </c>
      <c r="B471" t="s">
        <v>6370</v>
      </c>
      <c r="C471" t="s">
        <v>74</v>
      </c>
      <c r="D471" t="s">
        <v>74</v>
      </c>
      <c r="E471" t="s">
        <v>74</v>
      </c>
      <c r="F471" t="s">
        <v>6370</v>
      </c>
      <c r="G471" t="s">
        <v>74</v>
      </c>
      <c r="H471" t="s">
        <v>74</v>
      </c>
      <c r="I471" t="s">
        <v>6371</v>
      </c>
      <c r="J471" t="s">
        <v>6372</v>
      </c>
      <c r="K471" t="s">
        <v>74</v>
      </c>
      <c r="L471" t="s">
        <v>74</v>
      </c>
      <c r="M471" t="s">
        <v>77</v>
      </c>
      <c r="N471" t="s">
        <v>78</v>
      </c>
      <c r="O471" t="s">
        <v>74</v>
      </c>
      <c r="P471" t="s">
        <v>74</v>
      </c>
      <c r="Q471" t="s">
        <v>74</v>
      </c>
      <c r="R471" t="s">
        <v>74</v>
      </c>
      <c r="S471" t="s">
        <v>74</v>
      </c>
      <c r="T471" t="s">
        <v>74</v>
      </c>
      <c r="U471" t="s">
        <v>74</v>
      </c>
      <c r="V471" t="s">
        <v>6373</v>
      </c>
      <c r="W471" t="s">
        <v>6374</v>
      </c>
      <c r="X471" t="s">
        <v>6375</v>
      </c>
      <c r="Y471" t="s">
        <v>6376</v>
      </c>
      <c r="Z471" t="s">
        <v>74</v>
      </c>
      <c r="AA471" t="s">
        <v>6377</v>
      </c>
      <c r="AB471" t="s">
        <v>6378</v>
      </c>
      <c r="AC471" t="s">
        <v>74</v>
      </c>
      <c r="AD471" t="s">
        <v>74</v>
      </c>
      <c r="AE471" t="s">
        <v>74</v>
      </c>
      <c r="AF471" t="s">
        <v>74</v>
      </c>
      <c r="AG471">
        <v>63</v>
      </c>
      <c r="AH471">
        <v>19</v>
      </c>
      <c r="AI471">
        <v>21</v>
      </c>
      <c r="AJ471">
        <v>0</v>
      </c>
      <c r="AK471">
        <v>0</v>
      </c>
      <c r="AL471" t="s">
        <v>6379</v>
      </c>
      <c r="AM471" t="s">
        <v>231</v>
      </c>
      <c r="AN471" t="s">
        <v>6380</v>
      </c>
      <c r="AO471" t="s">
        <v>6381</v>
      </c>
      <c r="AP471" t="s">
        <v>74</v>
      </c>
      <c r="AQ471" t="s">
        <v>74</v>
      </c>
      <c r="AR471" t="s">
        <v>6382</v>
      </c>
      <c r="AS471" t="s">
        <v>6383</v>
      </c>
      <c r="AT471" t="s">
        <v>6239</v>
      </c>
      <c r="AU471">
        <v>1999</v>
      </c>
      <c r="AV471">
        <v>112</v>
      </c>
      <c r="AW471">
        <v>2</v>
      </c>
      <c r="AX471" t="s">
        <v>74</v>
      </c>
      <c r="AY471" t="s">
        <v>74</v>
      </c>
      <c r="AZ471" t="s">
        <v>74</v>
      </c>
      <c r="BA471" t="s">
        <v>74</v>
      </c>
      <c r="BB471">
        <v>253</v>
      </c>
      <c r="BC471">
        <v>302</v>
      </c>
      <c r="BD471" t="s">
        <v>74</v>
      </c>
      <c r="BE471" t="s">
        <v>74</v>
      </c>
      <c r="BF471" t="s">
        <v>74</v>
      </c>
      <c r="BG471" t="s">
        <v>74</v>
      </c>
      <c r="BH471" t="s">
        <v>74</v>
      </c>
      <c r="BI471">
        <v>50</v>
      </c>
      <c r="BJ471" t="s">
        <v>3521</v>
      </c>
      <c r="BK471" t="s">
        <v>96</v>
      </c>
      <c r="BL471" t="s">
        <v>3522</v>
      </c>
      <c r="BM471" t="s">
        <v>6384</v>
      </c>
      <c r="BN471" t="s">
        <v>74</v>
      </c>
      <c r="BO471" t="s">
        <v>74</v>
      </c>
      <c r="BP471" t="s">
        <v>74</v>
      </c>
      <c r="BQ471" t="s">
        <v>74</v>
      </c>
      <c r="BR471" t="s">
        <v>99</v>
      </c>
      <c r="BS471" t="s">
        <v>6385</v>
      </c>
      <c r="BT471" t="str">
        <f>HYPERLINK("https%3A%2F%2Fwww.webofscience.com%2Fwos%2Fwoscc%2Ffull-record%2FWOS:000081045900001","View Full Record in Web of Science")</f>
        <v>View Full Record in Web of Science</v>
      </c>
    </row>
    <row r="472" spans="1:72" x14ac:dyDescent="0.15">
      <c r="A472" t="s">
        <v>72</v>
      </c>
      <c r="B472" t="s">
        <v>6386</v>
      </c>
      <c r="C472" t="s">
        <v>74</v>
      </c>
      <c r="D472" t="s">
        <v>74</v>
      </c>
      <c r="E472" t="s">
        <v>74</v>
      </c>
      <c r="F472" t="s">
        <v>6386</v>
      </c>
      <c r="G472" t="s">
        <v>74</v>
      </c>
      <c r="H472" t="s">
        <v>74</v>
      </c>
      <c r="I472" t="s">
        <v>6387</v>
      </c>
      <c r="J472" t="s">
        <v>6372</v>
      </c>
      <c r="K472" t="s">
        <v>74</v>
      </c>
      <c r="L472" t="s">
        <v>74</v>
      </c>
      <c r="M472" t="s">
        <v>77</v>
      </c>
      <c r="N472" t="s">
        <v>78</v>
      </c>
      <c r="O472" t="s">
        <v>74</v>
      </c>
      <c r="P472" t="s">
        <v>74</v>
      </c>
      <c r="Q472" t="s">
        <v>74</v>
      </c>
      <c r="R472" t="s">
        <v>74</v>
      </c>
      <c r="S472" t="s">
        <v>74</v>
      </c>
      <c r="T472" t="s">
        <v>74</v>
      </c>
      <c r="U472" t="s">
        <v>74</v>
      </c>
      <c r="V472" t="s">
        <v>6388</v>
      </c>
      <c r="W472" t="s">
        <v>6389</v>
      </c>
      <c r="X472" t="s">
        <v>6390</v>
      </c>
      <c r="Y472" t="s">
        <v>6391</v>
      </c>
      <c r="Z472" t="s">
        <v>74</v>
      </c>
      <c r="AA472" t="s">
        <v>6392</v>
      </c>
      <c r="AB472" t="s">
        <v>6393</v>
      </c>
      <c r="AC472" t="s">
        <v>74</v>
      </c>
      <c r="AD472" t="s">
        <v>74</v>
      </c>
      <c r="AE472" t="s">
        <v>74</v>
      </c>
      <c r="AF472" t="s">
        <v>74</v>
      </c>
      <c r="AG472">
        <v>12</v>
      </c>
      <c r="AH472">
        <v>4</v>
      </c>
      <c r="AI472">
        <v>4</v>
      </c>
      <c r="AJ472">
        <v>0</v>
      </c>
      <c r="AK472">
        <v>0</v>
      </c>
      <c r="AL472" t="s">
        <v>6379</v>
      </c>
      <c r="AM472" t="s">
        <v>231</v>
      </c>
      <c r="AN472" t="s">
        <v>6380</v>
      </c>
      <c r="AO472" t="s">
        <v>6381</v>
      </c>
      <c r="AP472" t="s">
        <v>74</v>
      </c>
      <c r="AQ472" t="s">
        <v>74</v>
      </c>
      <c r="AR472" t="s">
        <v>6382</v>
      </c>
      <c r="AS472" t="s">
        <v>6383</v>
      </c>
      <c r="AT472" t="s">
        <v>6239</v>
      </c>
      <c r="AU472">
        <v>1999</v>
      </c>
      <c r="AV472">
        <v>112</v>
      </c>
      <c r="AW472">
        <v>2</v>
      </c>
      <c r="AX472" t="s">
        <v>74</v>
      </c>
      <c r="AY472" t="s">
        <v>74</v>
      </c>
      <c r="AZ472" t="s">
        <v>74</v>
      </c>
      <c r="BA472" t="s">
        <v>74</v>
      </c>
      <c r="BB472">
        <v>362</v>
      </c>
      <c r="BC472">
        <v>367</v>
      </c>
      <c r="BD472" t="s">
        <v>74</v>
      </c>
      <c r="BE472" t="s">
        <v>74</v>
      </c>
      <c r="BF472" t="s">
        <v>74</v>
      </c>
      <c r="BG472" t="s">
        <v>74</v>
      </c>
      <c r="BH472" t="s">
        <v>74</v>
      </c>
      <c r="BI472">
        <v>6</v>
      </c>
      <c r="BJ472" t="s">
        <v>3521</v>
      </c>
      <c r="BK472" t="s">
        <v>96</v>
      </c>
      <c r="BL472" t="s">
        <v>3522</v>
      </c>
      <c r="BM472" t="s">
        <v>6384</v>
      </c>
      <c r="BN472" t="s">
        <v>74</v>
      </c>
      <c r="BO472" t="s">
        <v>74</v>
      </c>
      <c r="BP472" t="s">
        <v>74</v>
      </c>
      <c r="BQ472" t="s">
        <v>74</v>
      </c>
      <c r="BR472" t="s">
        <v>99</v>
      </c>
      <c r="BS472" t="s">
        <v>6394</v>
      </c>
      <c r="BT472" t="str">
        <f>HYPERLINK("https%3A%2F%2Fwww.webofscience.com%2Fwos%2Fwoscc%2Ffull-record%2FWOS:000081045900008","View Full Record in Web of Science")</f>
        <v>View Full Record in Web of Science</v>
      </c>
    </row>
    <row r="473" spans="1:72" x14ac:dyDescent="0.15">
      <c r="A473" t="s">
        <v>72</v>
      </c>
      <c r="B473" t="s">
        <v>6395</v>
      </c>
      <c r="C473" t="s">
        <v>74</v>
      </c>
      <c r="D473" t="s">
        <v>74</v>
      </c>
      <c r="E473" t="s">
        <v>74</v>
      </c>
      <c r="F473" t="s">
        <v>6395</v>
      </c>
      <c r="G473" t="s">
        <v>74</v>
      </c>
      <c r="H473" t="s">
        <v>74</v>
      </c>
      <c r="I473" t="s">
        <v>6396</v>
      </c>
      <c r="J473" t="s">
        <v>458</v>
      </c>
      <c r="K473" t="s">
        <v>74</v>
      </c>
      <c r="L473" t="s">
        <v>74</v>
      </c>
      <c r="M473" t="s">
        <v>77</v>
      </c>
      <c r="N473" t="s">
        <v>78</v>
      </c>
      <c r="O473" t="s">
        <v>74</v>
      </c>
      <c r="P473" t="s">
        <v>74</v>
      </c>
      <c r="Q473" t="s">
        <v>74</v>
      </c>
      <c r="R473" t="s">
        <v>74</v>
      </c>
      <c r="S473" t="s">
        <v>74</v>
      </c>
      <c r="T473" t="s">
        <v>74</v>
      </c>
      <c r="U473" t="s">
        <v>6397</v>
      </c>
      <c r="V473" t="s">
        <v>6398</v>
      </c>
      <c r="W473" t="s">
        <v>6399</v>
      </c>
      <c r="X473" t="s">
        <v>6400</v>
      </c>
      <c r="Y473" t="s">
        <v>6401</v>
      </c>
      <c r="Z473" t="s">
        <v>6402</v>
      </c>
      <c r="AA473" t="s">
        <v>6403</v>
      </c>
      <c r="AB473" t="s">
        <v>6404</v>
      </c>
      <c r="AC473" t="s">
        <v>74</v>
      </c>
      <c r="AD473" t="s">
        <v>74</v>
      </c>
      <c r="AE473" t="s">
        <v>74</v>
      </c>
      <c r="AF473" t="s">
        <v>74</v>
      </c>
      <c r="AG473">
        <v>50</v>
      </c>
      <c r="AH473">
        <v>150</v>
      </c>
      <c r="AI473">
        <v>170</v>
      </c>
      <c r="AJ473">
        <v>3</v>
      </c>
      <c r="AK473">
        <v>16</v>
      </c>
      <c r="AL473" t="s">
        <v>230</v>
      </c>
      <c r="AM473" t="s">
        <v>231</v>
      </c>
      <c r="AN473" t="s">
        <v>232</v>
      </c>
      <c r="AO473" t="s">
        <v>465</v>
      </c>
      <c r="AP473" t="s">
        <v>466</v>
      </c>
      <c r="AQ473" t="s">
        <v>74</v>
      </c>
      <c r="AR473" t="s">
        <v>467</v>
      </c>
      <c r="AS473" t="s">
        <v>468</v>
      </c>
      <c r="AT473" t="s">
        <v>6405</v>
      </c>
      <c r="AU473">
        <v>1999</v>
      </c>
      <c r="AV473">
        <v>104</v>
      </c>
      <c r="AW473" t="s">
        <v>6406</v>
      </c>
      <c r="AX473" t="s">
        <v>74</v>
      </c>
      <c r="AY473" t="s">
        <v>74</v>
      </c>
      <c r="AZ473" t="s">
        <v>74</v>
      </c>
      <c r="BA473" t="s">
        <v>74</v>
      </c>
      <c r="BB473">
        <v>13013</v>
      </c>
      <c r="BC473">
        <v>13024</v>
      </c>
      <c r="BD473" t="s">
        <v>74</v>
      </c>
      <c r="BE473" t="s">
        <v>6407</v>
      </c>
      <c r="BF473" t="str">
        <f>HYPERLINK("http://dx.doi.org/10.1029/1999JB900034","http://dx.doi.org/10.1029/1999JB900034")</f>
        <v>http://dx.doi.org/10.1029/1999JB900034</v>
      </c>
      <c r="BG473" t="s">
        <v>74</v>
      </c>
      <c r="BH473" t="s">
        <v>74</v>
      </c>
      <c r="BI473">
        <v>12</v>
      </c>
      <c r="BJ473" t="s">
        <v>216</v>
      </c>
      <c r="BK473" t="s">
        <v>96</v>
      </c>
      <c r="BL473" t="s">
        <v>216</v>
      </c>
      <c r="BM473" t="s">
        <v>6408</v>
      </c>
      <c r="BN473" t="s">
        <v>74</v>
      </c>
      <c r="BO473" t="s">
        <v>74</v>
      </c>
      <c r="BP473" t="s">
        <v>74</v>
      </c>
      <c r="BQ473" t="s">
        <v>74</v>
      </c>
      <c r="BR473" t="s">
        <v>99</v>
      </c>
      <c r="BS473" t="s">
        <v>6409</v>
      </c>
      <c r="BT473" t="str">
        <f>HYPERLINK("https%3A%2F%2Fwww.webofscience.com%2Fwos%2Fwoscc%2Ffull-record%2FWOS:000080813000019","View Full Record in Web of Science")</f>
        <v>View Full Record in Web of Science</v>
      </c>
    </row>
    <row r="474" spans="1:72" x14ac:dyDescent="0.15">
      <c r="A474" t="s">
        <v>72</v>
      </c>
      <c r="B474" t="s">
        <v>6410</v>
      </c>
      <c r="C474" t="s">
        <v>74</v>
      </c>
      <c r="D474" t="s">
        <v>74</v>
      </c>
      <c r="E474" t="s">
        <v>74</v>
      </c>
      <c r="F474" t="s">
        <v>6410</v>
      </c>
      <c r="G474" t="s">
        <v>74</v>
      </c>
      <c r="H474" t="s">
        <v>74</v>
      </c>
      <c r="I474" t="s">
        <v>6411</v>
      </c>
      <c r="J474" t="s">
        <v>6412</v>
      </c>
      <c r="K474" t="s">
        <v>74</v>
      </c>
      <c r="L474" t="s">
        <v>74</v>
      </c>
      <c r="M474" t="s">
        <v>77</v>
      </c>
      <c r="N474" t="s">
        <v>1187</v>
      </c>
      <c r="O474" t="s">
        <v>74</v>
      </c>
      <c r="P474" t="s">
        <v>74</v>
      </c>
      <c r="Q474" t="s">
        <v>74</v>
      </c>
      <c r="R474" t="s">
        <v>74</v>
      </c>
      <c r="S474" t="s">
        <v>74</v>
      </c>
      <c r="T474" t="s">
        <v>74</v>
      </c>
      <c r="U474" t="s">
        <v>74</v>
      </c>
      <c r="V474" t="s">
        <v>74</v>
      </c>
      <c r="W474" t="s">
        <v>74</v>
      </c>
      <c r="X474" t="s">
        <v>74</v>
      </c>
      <c r="Y474" t="s">
        <v>74</v>
      </c>
      <c r="Z474" t="s">
        <v>74</v>
      </c>
      <c r="AA474" t="s">
        <v>74</v>
      </c>
      <c r="AB474" t="s">
        <v>74</v>
      </c>
      <c r="AC474" t="s">
        <v>74</v>
      </c>
      <c r="AD474" t="s">
        <v>74</v>
      </c>
      <c r="AE474" t="s">
        <v>74</v>
      </c>
      <c r="AF474" t="s">
        <v>74</v>
      </c>
      <c r="AG474">
        <v>1</v>
      </c>
      <c r="AH474">
        <v>0</v>
      </c>
      <c r="AI474">
        <v>0</v>
      </c>
      <c r="AJ474">
        <v>0</v>
      </c>
      <c r="AK474">
        <v>0</v>
      </c>
      <c r="AL474" t="s">
        <v>6413</v>
      </c>
      <c r="AM474" t="s">
        <v>554</v>
      </c>
      <c r="AN474" t="s">
        <v>6414</v>
      </c>
      <c r="AO474" t="s">
        <v>6415</v>
      </c>
      <c r="AP474" t="s">
        <v>74</v>
      </c>
      <c r="AQ474" t="s">
        <v>74</v>
      </c>
      <c r="AR474" t="s">
        <v>6416</v>
      </c>
      <c r="AS474" t="s">
        <v>6417</v>
      </c>
      <c r="AT474" t="s">
        <v>6405</v>
      </c>
      <c r="AU474">
        <v>1999</v>
      </c>
      <c r="AV474">
        <v>46</v>
      </c>
      <c r="AW474">
        <v>10</v>
      </c>
      <c r="AX474" t="s">
        <v>74</v>
      </c>
      <c r="AY474" t="s">
        <v>74</v>
      </c>
      <c r="AZ474" t="s">
        <v>74</v>
      </c>
      <c r="BA474" t="s">
        <v>74</v>
      </c>
      <c r="BB474">
        <v>14</v>
      </c>
      <c r="BC474" t="s">
        <v>6418</v>
      </c>
      <c r="BD474" t="s">
        <v>74</v>
      </c>
      <c r="BE474" t="s">
        <v>74</v>
      </c>
      <c r="BF474" t="s">
        <v>74</v>
      </c>
      <c r="BG474" t="s">
        <v>74</v>
      </c>
      <c r="BH474" t="s">
        <v>74</v>
      </c>
      <c r="BI474">
        <v>0</v>
      </c>
      <c r="BJ474" t="s">
        <v>1479</v>
      </c>
      <c r="BK474" t="s">
        <v>1281</v>
      </c>
      <c r="BL474" t="s">
        <v>1480</v>
      </c>
      <c r="BM474" t="s">
        <v>6419</v>
      </c>
      <c r="BN474" t="s">
        <v>74</v>
      </c>
      <c r="BO474" t="s">
        <v>74</v>
      </c>
      <c r="BP474" t="s">
        <v>74</v>
      </c>
      <c r="BQ474" t="s">
        <v>74</v>
      </c>
      <c r="BR474" t="s">
        <v>99</v>
      </c>
      <c r="BS474" t="s">
        <v>6420</v>
      </c>
      <c r="BT474" t="str">
        <f>HYPERLINK("https%3A%2F%2Fwww.webofscience.com%2Fwos%2Fwoscc%2Ffull-record%2FWOS:000080419800004","View Full Record in Web of Science")</f>
        <v>View Full Record in Web of Science</v>
      </c>
    </row>
    <row r="475" spans="1:72" x14ac:dyDescent="0.15">
      <c r="A475" t="s">
        <v>72</v>
      </c>
      <c r="B475" t="s">
        <v>6421</v>
      </c>
      <c r="C475" t="s">
        <v>74</v>
      </c>
      <c r="D475" t="s">
        <v>74</v>
      </c>
      <c r="E475" t="s">
        <v>74</v>
      </c>
      <c r="F475" t="s">
        <v>6421</v>
      </c>
      <c r="G475" t="s">
        <v>74</v>
      </c>
      <c r="H475" t="s">
        <v>74</v>
      </c>
      <c r="I475" t="s">
        <v>6422</v>
      </c>
      <c r="J475" t="s">
        <v>6423</v>
      </c>
      <c r="K475" t="s">
        <v>74</v>
      </c>
      <c r="L475" t="s">
        <v>74</v>
      </c>
      <c r="M475" t="s">
        <v>77</v>
      </c>
      <c r="N475" t="s">
        <v>78</v>
      </c>
      <c r="O475" t="s">
        <v>74</v>
      </c>
      <c r="P475" t="s">
        <v>74</v>
      </c>
      <c r="Q475" t="s">
        <v>74</v>
      </c>
      <c r="R475" t="s">
        <v>74</v>
      </c>
      <c r="S475" t="s">
        <v>74</v>
      </c>
      <c r="T475" t="s">
        <v>74</v>
      </c>
      <c r="U475" t="s">
        <v>74</v>
      </c>
      <c r="V475" t="s">
        <v>74</v>
      </c>
      <c r="W475" t="s">
        <v>6424</v>
      </c>
      <c r="X475" t="s">
        <v>816</v>
      </c>
      <c r="Y475" t="s">
        <v>6425</v>
      </c>
      <c r="Z475" t="s">
        <v>74</v>
      </c>
      <c r="AA475" t="s">
        <v>6426</v>
      </c>
      <c r="AB475" t="s">
        <v>6427</v>
      </c>
      <c r="AC475" t="s">
        <v>74</v>
      </c>
      <c r="AD475" t="s">
        <v>74</v>
      </c>
      <c r="AE475" t="s">
        <v>74</v>
      </c>
      <c r="AF475" t="s">
        <v>74</v>
      </c>
      <c r="AG475">
        <v>5</v>
      </c>
      <c r="AH475">
        <v>9</v>
      </c>
      <c r="AI475">
        <v>11</v>
      </c>
      <c r="AJ475">
        <v>0</v>
      </c>
      <c r="AK475">
        <v>1</v>
      </c>
      <c r="AL475" t="s">
        <v>6428</v>
      </c>
      <c r="AM475" t="s">
        <v>531</v>
      </c>
      <c r="AN475" t="s">
        <v>2582</v>
      </c>
      <c r="AO475" t="s">
        <v>6429</v>
      </c>
      <c r="AP475" t="s">
        <v>74</v>
      </c>
      <c r="AQ475" t="s">
        <v>74</v>
      </c>
      <c r="AR475" t="s">
        <v>6423</v>
      </c>
      <c r="AS475" t="s">
        <v>6430</v>
      </c>
      <c r="AT475" t="s">
        <v>6431</v>
      </c>
      <c r="AU475">
        <v>1999</v>
      </c>
      <c r="AV475">
        <v>353</v>
      </c>
      <c r="AW475">
        <v>9168</v>
      </c>
      <c r="AX475" t="s">
        <v>74</v>
      </c>
      <c r="AY475" t="s">
        <v>74</v>
      </c>
      <c r="AZ475" t="s">
        <v>74</v>
      </c>
      <c r="BA475" t="s">
        <v>74</v>
      </c>
      <c r="BB475">
        <v>1942</v>
      </c>
      <c r="BC475">
        <v>1942</v>
      </c>
      <c r="BD475" t="s">
        <v>74</v>
      </c>
      <c r="BE475" t="s">
        <v>6432</v>
      </c>
      <c r="BF475" t="str">
        <f>HYPERLINK("http://dx.doi.org/10.1016/S0140-6736(99)00823-5","http://dx.doi.org/10.1016/S0140-6736(99)00823-5")</f>
        <v>http://dx.doi.org/10.1016/S0140-6736(99)00823-5</v>
      </c>
      <c r="BG475" t="s">
        <v>74</v>
      </c>
      <c r="BH475" t="s">
        <v>74</v>
      </c>
      <c r="BI475">
        <v>1</v>
      </c>
      <c r="BJ475" t="s">
        <v>6433</v>
      </c>
      <c r="BK475" t="s">
        <v>96</v>
      </c>
      <c r="BL475" t="s">
        <v>6434</v>
      </c>
      <c r="BM475" t="s">
        <v>6435</v>
      </c>
      <c r="BN475">
        <v>10371583</v>
      </c>
      <c r="BO475" t="s">
        <v>74</v>
      </c>
      <c r="BP475" t="s">
        <v>74</v>
      </c>
      <c r="BQ475" t="s">
        <v>74</v>
      </c>
      <c r="BR475" t="s">
        <v>99</v>
      </c>
      <c r="BS475" t="s">
        <v>6436</v>
      </c>
      <c r="BT475" t="str">
        <f>HYPERLINK("https%3A%2F%2Fwww.webofscience.com%2Fwos%2Fwoscc%2Ffull-record%2FWOS:000080668500024","View Full Record in Web of Science")</f>
        <v>View Full Record in Web of Science</v>
      </c>
    </row>
    <row r="476" spans="1:72" x14ac:dyDescent="0.15">
      <c r="A476" t="s">
        <v>72</v>
      </c>
      <c r="B476" t="s">
        <v>6437</v>
      </c>
      <c r="C476" t="s">
        <v>74</v>
      </c>
      <c r="D476" t="s">
        <v>74</v>
      </c>
      <c r="E476" t="s">
        <v>74</v>
      </c>
      <c r="F476" t="s">
        <v>6437</v>
      </c>
      <c r="G476" t="s">
        <v>74</v>
      </c>
      <c r="H476" t="s">
        <v>74</v>
      </c>
      <c r="I476" t="s">
        <v>6438</v>
      </c>
      <c r="J476" t="s">
        <v>2692</v>
      </c>
      <c r="K476" t="s">
        <v>74</v>
      </c>
      <c r="L476" t="s">
        <v>74</v>
      </c>
      <c r="M476" t="s">
        <v>77</v>
      </c>
      <c r="N476" t="s">
        <v>78</v>
      </c>
      <c r="O476" t="s">
        <v>74</v>
      </c>
      <c r="P476" t="s">
        <v>74</v>
      </c>
      <c r="Q476" t="s">
        <v>74</v>
      </c>
      <c r="R476" t="s">
        <v>74</v>
      </c>
      <c r="S476" t="s">
        <v>74</v>
      </c>
      <c r="T476" t="s">
        <v>74</v>
      </c>
      <c r="U476" t="s">
        <v>6439</v>
      </c>
      <c r="V476" t="s">
        <v>6440</v>
      </c>
      <c r="W476" t="s">
        <v>6441</v>
      </c>
      <c r="X476" t="s">
        <v>6442</v>
      </c>
      <c r="Y476" t="s">
        <v>6443</v>
      </c>
      <c r="Z476" t="s">
        <v>74</v>
      </c>
      <c r="AA476" t="s">
        <v>6444</v>
      </c>
      <c r="AB476" t="s">
        <v>6445</v>
      </c>
      <c r="AC476" t="s">
        <v>74</v>
      </c>
      <c r="AD476" t="s">
        <v>74</v>
      </c>
      <c r="AE476" t="s">
        <v>74</v>
      </c>
      <c r="AF476" t="s">
        <v>74</v>
      </c>
      <c r="AG476">
        <v>52</v>
      </c>
      <c r="AH476">
        <v>4114</v>
      </c>
      <c r="AI476">
        <v>4954</v>
      </c>
      <c r="AJ476">
        <v>27</v>
      </c>
      <c r="AK476">
        <v>2094</v>
      </c>
      <c r="AL476" t="s">
        <v>2693</v>
      </c>
      <c r="AM476" t="s">
        <v>531</v>
      </c>
      <c r="AN476" t="s">
        <v>2694</v>
      </c>
      <c r="AO476" t="s">
        <v>2695</v>
      </c>
      <c r="AP476" t="s">
        <v>74</v>
      </c>
      <c r="AQ476" t="s">
        <v>74</v>
      </c>
      <c r="AR476" t="s">
        <v>2692</v>
      </c>
      <c r="AS476" t="s">
        <v>2696</v>
      </c>
      <c r="AT476" t="s">
        <v>6446</v>
      </c>
      <c r="AU476">
        <v>1999</v>
      </c>
      <c r="AV476">
        <v>399</v>
      </c>
      <c r="AW476">
        <v>6735</v>
      </c>
      <c r="AX476" t="s">
        <v>74</v>
      </c>
      <c r="AY476" t="s">
        <v>74</v>
      </c>
      <c r="AZ476" t="s">
        <v>74</v>
      </c>
      <c r="BA476" t="s">
        <v>74</v>
      </c>
      <c r="BB476">
        <v>429</v>
      </c>
      <c r="BC476">
        <v>436</v>
      </c>
      <c r="BD476" t="s">
        <v>74</v>
      </c>
      <c r="BE476" t="s">
        <v>6447</v>
      </c>
      <c r="BF476" t="str">
        <f>HYPERLINK("http://dx.doi.org/10.1038/20859","http://dx.doi.org/10.1038/20859")</f>
        <v>http://dx.doi.org/10.1038/20859</v>
      </c>
      <c r="BG476" t="s">
        <v>74</v>
      </c>
      <c r="BH476" t="s">
        <v>74</v>
      </c>
      <c r="BI476">
        <v>8</v>
      </c>
      <c r="BJ476" t="s">
        <v>303</v>
      </c>
      <c r="BK476" t="s">
        <v>96</v>
      </c>
      <c r="BL476" t="s">
        <v>304</v>
      </c>
      <c r="BM476" t="s">
        <v>6448</v>
      </c>
      <c r="BN476" t="s">
        <v>74</v>
      </c>
      <c r="BO476" t="s">
        <v>518</v>
      </c>
      <c r="BP476" t="s">
        <v>74</v>
      </c>
      <c r="BQ476" t="s">
        <v>74</v>
      </c>
      <c r="BR476" t="s">
        <v>99</v>
      </c>
      <c r="BS476" t="s">
        <v>6449</v>
      </c>
      <c r="BT476" t="str">
        <f>HYPERLINK("https%3A%2F%2Fwww.webofscience.com%2Fwos%2Fwoscc%2Ffull-record%2FWOS:000080667900038","View Full Record in Web of Science")</f>
        <v>View Full Record in Web of Science</v>
      </c>
    </row>
    <row r="477" spans="1:72" x14ac:dyDescent="0.15">
      <c r="A477" t="s">
        <v>72</v>
      </c>
      <c r="B477" t="s">
        <v>6450</v>
      </c>
      <c r="C477" t="s">
        <v>74</v>
      </c>
      <c r="D477" t="s">
        <v>74</v>
      </c>
      <c r="E477" t="s">
        <v>74</v>
      </c>
      <c r="F477" t="s">
        <v>6450</v>
      </c>
      <c r="G477" t="s">
        <v>74</v>
      </c>
      <c r="H477" t="s">
        <v>74</v>
      </c>
      <c r="I477" t="s">
        <v>6451</v>
      </c>
      <c r="J477" t="s">
        <v>4123</v>
      </c>
      <c r="K477" t="s">
        <v>74</v>
      </c>
      <c r="L477" t="s">
        <v>74</v>
      </c>
      <c r="M477" t="s">
        <v>77</v>
      </c>
      <c r="N477" t="s">
        <v>78</v>
      </c>
      <c r="O477" t="s">
        <v>74</v>
      </c>
      <c r="P477" t="s">
        <v>74</v>
      </c>
      <c r="Q477" t="s">
        <v>74</v>
      </c>
      <c r="R477" t="s">
        <v>74</v>
      </c>
      <c r="S477" t="s">
        <v>74</v>
      </c>
      <c r="T477" t="s">
        <v>6452</v>
      </c>
      <c r="U477" t="s">
        <v>6453</v>
      </c>
      <c r="V477" t="s">
        <v>6454</v>
      </c>
      <c r="W477" t="s">
        <v>6455</v>
      </c>
      <c r="X477" t="s">
        <v>6456</v>
      </c>
      <c r="Y477" t="s">
        <v>6457</v>
      </c>
      <c r="Z477" t="s">
        <v>74</v>
      </c>
      <c r="AA477" t="s">
        <v>6458</v>
      </c>
      <c r="AB477" t="s">
        <v>6459</v>
      </c>
      <c r="AC477" t="s">
        <v>74</v>
      </c>
      <c r="AD477" t="s">
        <v>74</v>
      </c>
      <c r="AE477" t="s">
        <v>74</v>
      </c>
      <c r="AF477" t="s">
        <v>74</v>
      </c>
      <c r="AG477">
        <v>17</v>
      </c>
      <c r="AH477">
        <v>22</v>
      </c>
      <c r="AI477">
        <v>22</v>
      </c>
      <c r="AJ477">
        <v>0</v>
      </c>
      <c r="AK477">
        <v>3</v>
      </c>
      <c r="AL477" t="s">
        <v>4130</v>
      </c>
      <c r="AM477" t="s">
        <v>4131</v>
      </c>
      <c r="AN477" t="s">
        <v>4132</v>
      </c>
      <c r="AO477" t="s">
        <v>4133</v>
      </c>
      <c r="AP477" t="s">
        <v>74</v>
      </c>
      <c r="AQ477" t="s">
        <v>74</v>
      </c>
      <c r="AR477" t="s">
        <v>4134</v>
      </c>
      <c r="AS477" t="s">
        <v>4135</v>
      </c>
      <c r="AT477" t="s">
        <v>6460</v>
      </c>
      <c r="AU477">
        <v>1999</v>
      </c>
      <c r="AV477">
        <v>42</v>
      </c>
      <c r="AW477">
        <v>3</v>
      </c>
      <c r="AX477" t="s">
        <v>74</v>
      </c>
      <c r="AY477" t="s">
        <v>74</v>
      </c>
      <c r="AZ477" t="s">
        <v>74</v>
      </c>
      <c r="BA477" t="s">
        <v>74</v>
      </c>
      <c r="BB477">
        <v>417</v>
      </c>
      <c r="BC477">
        <v>436</v>
      </c>
      <c r="BD477" t="s">
        <v>74</v>
      </c>
      <c r="BE477" t="s">
        <v>74</v>
      </c>
      <c r="BF477" t="s">
        <v>74</v>
      </c>
      <c r="BG477" t="s">
        <v>74</v>
      </c>
      <c r="BH477" t="s">
        <v>74</v>
      </c>
      <c r="BI477">
        <v>20</v>
      </c>
      <c r="BJ477" t="s">
        <v>216</v>
      </c>
      <c r="BK477" t="s">
        <v>96</v>
      </c>
      <c r="BL477" t="s">
        <v>216</v>
      </c>
      <c r="BM477" t="s">
        <v>6461</v>
      </c>
      <c r="BN477" t="s">
        <v>74</v>
      </c>
      <c r="BO477" t="s">
        <v>74</v>
      </c>
      <c r="BP477" t="s">
        <v>74</v>
      </c>
      <c r="BQ477" t="s">
        <v>74</v>
      </c>
      <c r="BR477" t="s">
        <v>99</v>
      </c>
      <c r="BS477" t="s">
        <v>6462</v>
      </c>
      <c r="BT477" t="str">
        <f>HYPERLINK("https%3A%2F%2Fwww.webofscience.com%2Fwos%2Fwoscc%2Ffull-record%2FWOS:000081597200007","View Full Record in Web of Science")</f>
        <v>View Full Record in Web of Science</v>
      </c>
    </row>
    <row r="478" spans="1:72" x14ac:dyDescent="0.15">
      <c r="A478" t="s">
        <v>72</v>
      </c>
      <c r="B478" t="s">
        <v>6463</v>
      </c>
      <c r="C478" t="s">
        <v>74</v>
      </c>
      <c r="D478" t="s">
        <v>74</v>
      </c>
      <c r="E478" t="s">
        <v>74</v>
      </c>
      <c r="F478" t="s">
        <v>6463</v>
      </c>
      <c r="G478" t="s">
        <v>74</v>
      </c>
      <c r="H478" t="s">
        <v>74</v>
      </c>
      <c r="I478" t="s">
        <v>6464</v>
      </c>
      <c r="J478" t="s">
        <v>2978</v>
      </c>
      <c r="K478" t="s">
        <v>74</v>
      </c>
      <c r="L478" t="s">
        <v>74</v>
      </c>
      <c r="M478" t="s">
        <v>77</v>
      </c>
      <c r="N478" t="s">
        <v>205</v>
      </c>
      <c r="O478" t="s">
        <v>74</v>
      </c>
      <c r="P478" t="s">
        <v>74</v>
      </c>
      <c r="Q478" t="s">
        <v>74</v>
      </c>
      <c r="R478" t="s">
        <v>74</v>
      </c>
      <c r="S478" t="s">
        <v>74</v>
      </c>
      <c r="T478" t="s">
        <v>74</v>
      </c>
      <c r="U478" t="s">
        <v>74</v>
      </c>
      <c r="V478" t="s">
        <v>74</v>
      </c>
      <c r="W478" t="s">
        <v>6465</v>
      </c>
      <c r="X478" t="s">
        <v>2774</v>
      </c>
      <c r="Y478" t="s">
        <v>6466</v>
      </c>
      <c r="Z478" t="s">
        <v>74</v>
      </c>
      <c r="AA478" t="s">
        <v>74</v>
      </c>
      <c r="AB478" t="s">
        <v>6467</v>
      </c>
      <c r="AC478" t="s">
        <v>74</v>
      </c>
      <c r="AD478" t="s">
        <v>74</v>
      </c>
      <c r="AE478" t="s">
        <v>74</v>
      </c>
      <c r="AF478" t="s">
        <v>74</v>
      </c>
      <c r="AG478">
        <v>0</v>
      </c>
      <c r="AH478">
        <v>0</v>
      </c>
      <c r="AI478">
        <v>0</v>
      </c>
      <c r="AJ478">
        <v>0</v>
      </c>
      <c r="AK478">
        <v>0</v>
      </c>
      <c r="AL478" t="s">
        <v>2057</v>
      </c>
      <c r="AM478" t="s">
        <v>554</v>
      </c>
      <c r="AN478" t="s">
        <v>2058</v>
      </c>
      <c r="AO478" t="s">
        <v>2979</v>
      </c>
      <c r="AP478" t="s">
        <v>74</v>
      </c>
      <c r="AQ478" t="s">
        <v>74</v>
      </c>
      <c r="AR478" t="s">
        <v>2980</v>
      </c>
      <c r="AS478" t="s">
        <v>2981</v>
      </c>
      <c r="AT478" t="s">
        <v>6460</v>
      </c>
      <c r="AU478">
        <v>1999</v>
      </c>
      <c r="AV478">
        <v>11</v>
      </c>
      <c r="AW478">
        <v>2</v>
      </c>
      <c r="AX478" t="s">
        <v>74</v>
      </c>
      <c r="AY478" t="s">
        <v>74</v>
      </c>
      <c r="AZ478" t="s">
        <v>74</v>
      </c>
      <c r="BA478" t="s">
        <v>74</v>
      </c>
      <c r="BB478">
        <v>129</v>
      </c>
      <c r="BC478">
        <v>129</v>
      </c>
      <c r="BD478" t="s">
        <v>74</v>
      </c>
      <c r="BE478" t="s">
        <v>6468</v>
      </c>
      <c r="BF478" t="str">
        <f>HYPERLINK("http://dx.doi.org/10.1017/S0954102099000188","http://dx.doi.org/10.1017/S0954102099000188")</f>
        <v>http://dx.doi.org/10.1017/S0954102099000188</v>
      </c>
      <c r="BG478" t="s">
        <v>74</v>
      </c>
      <c r="BH478" t="s">
        <v>74</v>
      </c>
      <c r="BI478">
        <v>1</v>
      </c>
      <c r="BJ478" t="s">
        <v>2984</v>
      </c>
      <c r="BK478" t="s">
        <v>96</v>
      </c>
      <c r="BL478" t="s">
        <v>2985</v>
      </c>
      <c r="BM478" t="s">
        <v>6469</v>
      </c>
      <c r="BN478" t="s">
        <v>74</v>
      </c>
      <c r="BO478" t="s">
        <v>250</v>
      </c>
      <c r="BP478" t="s">
        <v>74</v>
      </c>
      <c r="BQ478" t="s">
        <v>74</v>
      </c>
      <c r="BR478" t="s">
        <v>99</v>
      </c>
      <c r="BS478" t="s">
        <v>6470</v>
      </c>
      <c r="BT478" t="str">
        <f>HYPERLINK("https%3A%2F%2Fwww.webofscience.com%2Fwos%2Fwoscc%2Ffull-record%2FWOS:000084414100001","View Full Record in Web of Science")</f>
        <v>View Full Record in Web of Science</v>
      </c>
    </row>
    <row r="479" spans="1:72" x14ac:dyDescent="0.15">
      <c r="A479" t="s">
        <v>72</v>
      </c>
      <c r="B479" t="s">
        <v>6471</v>
      </c>
      <c r="C479" t="s">
        <v>74</v>
      </c>
      <c r="D479" t="s">
        <v>74</v>
      </c>
      <c r="E479" t="s">
        <v>74</v>
      </c>
      <c r="F479" t="s">
        <v>6471</v>
      </c>
      <c r="G479" t="s">
        <v>74</v>
      </c>
      <c r="H479" t="s">
        <v>74</v>
      </c>
      <c r="I479" t="s">
        <v>6472</v>
      </c>
      <c r="J479" t="s">
        <v>2978</v>
      </c>
      <c r="K479" t="s">
        <v>74</v>
      </c>
      <c r="L479" t="s">
        <v>74</v>
      </c>
      <c r="M479" t="s">
        <v>77</v>
      </c>
      <c r="N479" t="s">
        <v>78</v>
      </c>
      <c r="O479" t="s">
        <v>74</v>
      </c>
      <c r="P479" t="s">
        <v>74</v>
      </c>
      <c r="Q479" t="s">
        <v>74</v>
      </c>
      <c r="R479" t="s">
        <v>74</v>
      </c>
      <c r="S479" t="s">
        <v>74</v>
      </c>
      <c r="T479" t="s">
        <v>6473</v>
      </c>
      <c r="U479" t="s">
        <v>6474</v>
      </c>
      <c r="V479" t="s">
        <v>6475</v>
      </c>
      <c r="W479" t="s">
        <v>6476</v>
      </c>
      <c r="X479" t="s">
        <v>6477</v>
      </c>
      <c r="Y479" t="s">
        <v>6478</v>
      </c>
      <c r="Z479" t="s">
        <v>74</v>
      </c>
      <c r="AA479" t="s">
        <v>6479</v>
      </c>
      <c r="AB479" t="s">
        <v>6480</v>
      </c>
      <c r="AC479" t="s">
        <v>74</v>
      </c>
      <c r="AD479" t="s">
        <v>74</v>
      </c>
      <c r="AE479" t="s">
        <v>74</v>
      </c>
      <c r="AF479" t="s">
        <v>74</v>
      </c>
      <c r="AG479">
        <v>48</v>
      </c>
      <c r="AH479">
        <v>34</v>
      </c>
      <c r="AI479">
        <v>39</v>
      </c>
      <c r="AJ479">
        <v>0</v>
      </c>
      <c r="AK479">
        <v>6</v>
      </c>
      <c r="AL479" t="s">
        <v>2057</v>
      </c>
      <c r="AM479" t="s">
        <v>554</v>
      </c>
      <c r="AN479" t="s">
        <v>2058</v>
      </c>
      <c r="AO479" t="s">
        <v>2979</v>
      </c>
      <c r="AP479" t="s">
        <v>74</v>
      </c>
      <c r="AQ479" t="s">
        <v>74</v>
      </c>
      <c r="AR479" t="s">
        <v>2980</v>
      </c>
      <c r="AS479" t="s">
        <v>2981</v>
      </c>
      <c r="AT479" t="s">
        <v>6460</v>
      </c>
      <c r="AU479">
        <v>1999</v>
      </c>
      <c r="AV479">
        <v>11</v>
      </c>
      <c r="AW479">
        <v>2</v>
      </c>
      <c r="AX479" t="s">
        <v>74</v>
      </c>
      <c r="AY479" t="s">
        <v>74</v>
      </c>
      <c r="AZ479" t="s">
        <v>74</v>
      </c>
      <c r="BA479" t="s">
        <v>74</v>
      </c>
      <c r="BB479">
        <v>131</v>
      </c>
      <c r="BC479">
        <v>139</v>
      </c>
      <c r="BD479" t="s">
        <v>74</v>
      </c>
      <c r="BE479" t="s">
        <v>6481</v>
      </c>
      <c r="BF479" t="str">
        <f>HYPERLINK("http://dx.doi.org/10.1017/S095410209900019X","http://dx.doi.org/10.1017/S095410209900019X")</f>
        <v>http://dx.doi.org/10.1017/S095410209900019X</v>
      </c>
      <c r="BG479" t="s">
        <v>74</v>
      </c>
      <c r="BH479" t="s">
        <v>74</v>
      </c>
      <c r="BI479">
        <v>9</v>
      </c>
      <c r="BJ479" t="s">
        <v>2984</v>
      </c>
      <c r="BK479" t="s">
        <v>96</v>
      </c>
      <c r="BL479" t="s">
        <v>2985</v>
      </c>
      <c r="BM479" t="s">
        <v>6469</v>
      </c>
      <c r="BN479" t="s">
        <v>74</v>
      </c>
      <c r="BO479" t="s">
        <v>74</v>
      </c>
      <c r="BP479" t="s">
        <v>74</v>
      </c>
      <c r="BQ479" t="s">
        <v>74</v>
      </c>
      <c r="BR479" t="s">
        <v>99</v>
      </c>
      <c r="BS479" t="s">
        <v>6482</v>
      </c>
      <c r="BT479" t="str">
        <f>HYPERLINK("https%3A%2F%2Fwww.webofscience.com%2Fwos%2Fwoscc%2Ffull-record%2FWOS:000084414100002","View Full Record in Web of Science")</f>
        <v>View Full Record in Web of Science</v>
      </c>
    </row>
    <row r="480" spans="1:72" x14ac:dyDescent="0.15">
      <c r="A480" t="s">
        <v>72</v>
      </c>
      <c r="B480" t="s">
        <v>6483</v>
      </c>
      <c r="C480" t="s">
        <v>74</v>
      </c>
      <c r="D480" t="s">
        <v>74</v>
      </c>
      <c r="E480" t="s">
        <v>74</v>
      </c>
      <c r="F480" t="s">
        <v>6483</v>
      </c>
      <c r="G480" t="s">
        <v>74</v>
      </c>
      <c r="H480" t="s">
        <v>74</v>
      </c>
      <c r="I480" t="s">
        <v>6484</v>
      </c>
      <c r="J480" t="s">
        <v>2978</v>
      </c>
      <c r="K480" t="s">
        <v>74</v>
      </c>
      <c r="L480" t="s">
        <v>74</v>
      </c>
      <c r="M480" t="s">
        <v>77</v>
      </c>
      <c r="N480" t="s">
        <v>78</v>
      </c>
      <c r="O480" t="s">
        <v>74</v>
      </c>
      <c r="P480" t="s">
        <v>74</v>
      </c>
      <c r="Q480" t="s">
        <v>74</v>
      </c>
      <c r="R480" t="s">
        <v>74</v>
      </c>
      <c r="S480" t="s">
        <v>74</v>
      </c>
      <c r="T480" t="s">
        <v>6485</v>
      </c>
      <c r="U480" t="s">
        <v>6486</v>
      </c>
      <c r="V480" t="s">
        <v>6487</v>
      </c>
      <c r="W480" t="s">
        <v>6488</v>
      </c>
      <c r="X480" t="s">
        <v>6489</v>
      </c>
      <c r="Y480" t="s">
        <v>6490</v>
      </c>
      <c r="Z480" t="s">
        <v>74</v>
      </c>
      <c r="AA480" t="s">
        <v>74</v>
      </c>
      <c r="AB480" t="s">
        <v>74</v>
      </c>
      <c r="AC480" t="s">
        <v>74</v>
      </c>
      <c r="AD480" t="s">
        <v>74</v>
      </c>
      <c r="AE480" t="s">
        <v>74</v>
      </c>
      <c r="AF480" t="s">
        <v>74</v>
      </c>
      <c r="AG480">
        <v>46</v>
      </c>
      <c r="AH480">
        <v>27</v>
      </c>
      <c r="AI480">
        <v>28</v>
      </c>
      <c r="AJ480">
        <v>1</v>
      </c>
      <c r="AK480">
        <v>6</v>
      </c>
      <c r="AL480" t="s">
        <v>2057</v>
      </c>
      <c r="AM480" t="s">
        <v>554</v>
      </c>
      <c r="AN480" t="s">
        <v>2058</v>
      </c>
      <c r="AO480" t="s">
        <v>2979</v>
      </c>
      <c r="AP480" t="s">
        <v>74</v>
      </c>
      <c r="AQ480" t="s">
        <v>74</v>
      </c>
      <c r="AR480" t="s">
        <v>2980</v>
      </c>
      <c r="AS480" t="s">
        <v>2981</v>
      </c>
      <c r="AT480" t="s">
        <v>6460</v>
      </c>
      <c r="AU480">
        <v>1999</v>
      </c>
      <c r="AV480">
        <v>11</v>
      </c>
      <c r="AW480">
        <v>2</v>
      </c>
      <c r="AX480" t="s">
        <v>74</v>
      </c>
      <c r="AY480" t="s">
        <v>74</v>
      </c>
      <c r="AZ480" t="s">
        <v>74</v>
      </c>
      <c r="BA480" t="s">
        <v>74</v>
      </c>
      <c r="BB480">
        <v>140</v>
      </c>
      <c r="BC480">
        <v>149</v>
      </c>
      <c r="BD480" t="s">
        <v>74</v>
      </c>
      <c r="BE480" t="s">
        <v>6491</v>
      </c>
      <c r="BF480" t="str">
        <f>HYPERLINK("http://dx.doi.org/10.1017/S0954102099000206","http://dx.doi.org/10.1017/S0954102099000206")</f>
        <v>http://dx.doi.org/10.1017/S0954102099000206</v>
      </c>
      <c r="BG480" t="s">
        <v>74</v>
      </c>
      <c r="BH480" t="s">
        <v>74</v>
      </c>
      <c r="BI480">
        <v>10</v>
      </c>
      <c r="BJ480" t="s">
        <v>2984</v>
      </c>
      <c r="BK480" t="s">
        <v>96</v>
      </c>
      <c r="BL480" t="s">
        <v>2985</v>
      </c>
      <c r="BM480" t="s">
        <v>6469</v>
      </c>
      <c r="BN480" t="s">
        <v>74</v>
      </c>
      <c r="BO480" t="s">
        <v>74</v>
      </c>
      <c r="BP480" t="s">
        <v>74</v>
      </c>
      <c r="BQ480" t="s">
        <v>74</v>
      </c>
      <c r="BR480" t="s">
        <v>99</v>
      </c>
      <c r="BS480" t="s">
        <v>6492</v>
      </c>
      <c r="BT480" t="str">
        <f>HYPERLINK("https%3A%2F%2Fwww.webofscience.com%2Fwos%2Fwoscc%2Ffull-record%2FWOS:000084414100003","View Full Record in Web of Science")</f>
        <v>View Full Record in Web of Science</v>
      </c>
    </row>
    <row r="481" spans="1:72" x14ac:dyDescent="0.15">
      <c r="A481" t="s">
        <v>72</v>
      </c>
      <c r="B481" t="s">
        <v>6493</v>
      </c>
      <c r="C481" t="s">
        <v>74</v>
      </c>
      <c r="D481" t="s">
        <v>74</v>
      </c>
      <c r="E481" t="s">
        <v>74</v>
      </c>
      <c r="F481" t="s">
        <v>6493</v>
      </c>
      <c r="G481" t="s">
        <v>74</v>
      </c>
      <c r="H481" t="s">
        <v>74</v>
      </c>
      <c r="I481" t="s">
        <v>6494</v>
      </c>
      <c r="J481" t="s">
        <v>2978</v>
      </c>
      <c r="K481" t="s">
        <v>74</v>
      </c>
      <c r="L481" t="s">
        <v>74</v>
      </c>
      <c r="M481" t="s">
        <v>77</v>
      </c>
      <c r="N481" t="s">
        <v>78</v>
      </c>
      <c r="O481" t="s">
        <v>74</v>
      </c>
      <c r="P481" t="s">
        <v>74</v>
      </c>
      <c r="Q481" t="s">
        <v>74</v>
      </c>
      <c r="R481" t="s">
        <v>74</v>
      </c>
      <c r="S481" t="s">
        <v>74</v>
      </c>
      <c r="T481" t="s">
        <v>6495</v>
      </c>
      <c r="U481" t="s">
        <v>6496</v>
      </c>
      <c r="V481" t="s">
        <v>6497</v>
      </c>
      <c r="W481" t="s">
        <v>151</v>
      </c>
      <c r="X481" t="s">
        <v>131</v>
      </c>
      <c r="Y481" t="s">
        <v>6498</v>
      </c>
      <c r="Z481" t="s">
        <v>74</v>
      </c>
      <c r="AA481" t="s">
        <v>74</v>
      </c>
      <c r="AB481" t="s">
        <v>74</v>
      </c>
      <c r="AC481" t="s">
        <v>74</v>
      </c>
      <c r="AD481" t="s">
        <v>74</v>
      </c>
      <c r="AE481" t="s">
        <v>74</v>
      </c>
      <c r="AF481" t="s">
        <v>74</v>
      </c>
      <c r="AG481">
        <v>25</v>
      </c>
      <c r="AH481">
        <v>10</v>
      </c>
      <c r="AI481">
        <v>10</v>
      </c>
      <c r="AJ481">
        <v>0</v>
      </c>
      <c r="AK481">
        <v>5</v>
      </c>
      <c r="AL481" t="s">
        <v>2057</v>
      </c>
      <c r="AM481" t="s">
        <v>554</v>
      </c>
      <c r="AN481" t="s">
        <v>2997</v>
      </c>
      <c r="AO481" t="s">
        <v>2979</v>
      </c>
      <c r="AP481" t="s">
        <v>3006</v>
      </c>
      <c r="AQ481" t="s">
        <v>74</v>
      </c>
      <c r="AR481" t="s">
        <v>2980</v>
      </c>
      <c r="AS481" t="s">
        <v>2981</v>
      </c>
      <c r="AT481" t="s">
        <v>6460</v>
      </c>
      <c r="AU481">
        <v>1999</v>
      </c>
      <c r="AV481">
        <v>11</v>
      </c>
      <c r="AW481">
        <v>2</v>
      </c>
      <c r="AX481" t="s">
        <v>74</v>
      </c>
      <c r="AY481" t="s">
        <v>74</v>
      </c>
      <c r="AZ481" t="s">
        <v>74</v>
      </c>
      <c r="BA481" t="s">
        <v>74</v>
      </c>
      <c r="BB481">
        <v>150</v>
      </c>
      <c r="BC481">
        <v>156</v>
      </c>
      <c r="BD481" t="s">
        <v>74</v>
      </c>
      <c r="BE481" t="s">
        <v>6499</v>
      </c>
      <c r="BF481" t="str">
        <f>HYPERLINK("http://dx.doi.org/10.1017/S0954102099000218","http://dx.doi.org/10.1017/S0954102099000218")</f>
        <v>http://dx.doi.org/10.1017/S0954102099000218</v>
      </c>
      <c r="BG481" t="s">
        <v>74</v>
      </c>
      <c r="BH481" t="s">
        <v>74</v>
      </c>
      <c r="BI481">
        <v>7</v>
      </c>
      <c r="BJ481" t="s">
        <v>2984</v>
      </c>
      <c r="BK481" t="s">
        <v>96</v>
      </c>
      <c r="BL481" t="s">
        <v>2985</v>
      </c>
      <c r="BM481" t="s">
        <v>6469</v>
      </c>
      <c r="BN481" t="s">
        <v>74</v>
      </c>
      <c r="BO481" t="s">
        <v>74</v>
      </c>
      <c r="BP481" t="s">
        <v>74</v>
      </c>
      <c r="BQ481" t="s">
        <v>74</v>
      </c>
      <c r="BR481" t="s">
        <v>99</v>
      </c>
      <c r="BS481" t="s">
        <v>6500</v>
      </c>
      <c r="BT481" t="str">
        <f>HYPERLINK("https%3A%2F%2Fwww.webofscience.com%2Fwos%2Fwoscc%2Ffull-record%2FWOS:000084414100004","View Full Record in Web of Science")</f>
        <v>View Full Record in Web of Science</v>
      </c>
    </row>
    <row r="482" spans="1:72" x14ac:dyDescent="0.15">
      <c r="A482" t="s">
        <v>72</v>
      </c>
      <c r="B482" t="s">
        <v>6501</v>
      </c>
      <c r="C482" t="s">
        <v>74</v>
      </c>
      <c r="D482" t="s">
        <v>74</v>
      </c>
      <c r="E482" t="s">
        <v>74</v>
      </c>
      <c r="F482" t="s">
        <v>6501</v>
      </c>
      <c r="G482" t="s">
        <v>74</v>
      </c>
      <c r="H482" t="s">
        <v>74</v>
      </c>
      <c r="I482" t="s">
        <v>6502</v>
      </c>
      <c r="J482" t="s">
        <v>2978</v>
      </c>
      <c r="K482" t="s">
        <v>74</v>
      </c>
      <c r="L482" t="s">
        <v>74</v>
      </c>
      <c r="M482" t="s">
        <v>77</v>
      </c>
      <c r="N482" t="s">
        <v>78</v>
      </c>
      <c r="O482" t="s">
        <v>74</v>
      </c>
      <c r="P482" t="s">
        <v>74</v>
      </c>
      <c r="Q482" t="s">
        <v>74</v>
      </c>
      <c r="R482" t="s">
        <v>74</v>
      </c>
      <c r="S482" t="s">
        <v>74</v>
      </c>
      <c r="T482" t="s">
        <v>6503</v>
      </c>
      <c r="U482" t="s">
        <v>6504</v>
      </c>
      <c r="V482" t="s">
        <v>6505</v>
      </c>
      <c r="W482" t="s">
        <v>151</v>
      </c>
      <c r="X482" t="s">
        <v>131</v>
      </c>
      <c r="Y482" t="s">
        <v>6506</v>
      </c>
      <c r="Z482" t="s">
        <v>74</v>
      </c>
      <c r="AA482" t="s">
        <v>74</v>
      </c>
      <c r="AB482" t="s">
        <v>74</v>
      </c>
      <c r="AC482" t="s">
        <v>74</v>
      </c>
      <c r="AD482" t="s">
        <v>74</v>
      </c>
      <c r="AE482" t="s">
        <v>74</v>
      </c>
      <c r="AF482" t="s">
        <v>74</v>
      </c>
      <c r="AG482">
        <v>15</v>
      </c>
      <c r="AH482">
        <v>8</v>
      </c>
      <c r="AI482">
        <v>10</v>
      </c>
      <c r="AJ482">
        <v>0</v>
      </c>
      <c r="AK482">
        <v>9</v>
      </c>
      <c r="AL482" t="s">
        <v>2057</v>
      </c>
      <c r="AM482" t="s">
        <v>554</v>
      </c>
      <c r="AN482" t="s">
        <v>2058</v>
      </c>
      <c r="AO482" t="s">
        <v>2979</v>
      </c>
      <c r="AP482" t="s">
        <v>74</v>
      </c>
      <c r="AQ482" t="s">
        <v>74</v>
      </c>
      <c r="AR482" t="s">
        <v>2980</v>
      </c>
      <c r="AS482" t="s">
        <v>2981</v>
      </c>
      <c r="AT482" t="s">
        <v>6460</v>
      </c>
      <c r="AU482">
        <v>1999</v>
      </c>
      <c r="AV482">
        <v>11</v>
      </c>
      <c r="AW482">
        <v>2</v>
      </c>
      <c r="AX482" t="s">
        <v>74</v>
      </c>
      <c r="AY482" t="s">
        <v>74</v>
      </c>
      <c r="AZ482" t="s">
        <v>74</v>
      </c>
      <c r="BA482" t="s">
        <v>74</v>
      </c>
      <c r="BB482">
        <v>157</v>
      </c>
      <c r="BC482">
        <v>159</v>
      </c>
      <c r="BD482" t="s">
        <v>74</v>
      </c>
      <c r="BE482" t="s">
        <v>6507</v>
      </c>
      <c r="BF482" t="str">
        <f>HYPERLINK("http://dx.doi.org/10.1017/S095410209900022X","http://dx.doi.org/10.1017/S095410209900022X")</f>
        <v>http://dx.doi.org/10.1017/S095410209900022X</v>
      </c>
      <c r="BG482" t="s">
        <v>74</v>
      </c>
      <c r="BH482" t="s">
        <v>74</v>
      </c>
      <c r="BI482">
        <v>3</v>
      </c>
      <c r="BJ482" t="s">
        <v>2984</v>
      </c>
      <c r="BK482" t="s">
        <v>96</v>
      </c>
      <c r="BL482" t="s">
        <v>2985</v>
      </c>
      <c r="BM482" t="s">
        <v>6469</v>
      </c>
      <c r="BN482" t="s">
        <v>74</v>
      </c>
      <c r="BO482" t="s">
        <v>74</v>
      </c>
      <c r="BP482" t="s">
        <v>74</v>
      </c>
      <c r="BQ482" t="s">
        <v>74</v>
      </c>
      <c r="BR482" t="s">
        <v>99</v>
      </c>
      <c r="BS482" t="s">
        <v>6508</v>
      </c>
      <c r="BT482" t="str">
        <f>HYPERLINK("https%3A%2F%2Fwww.webofscience.com%2Fwos%2Fwoscc%2Ffull-record%2FWOS:000084414100005","View Full Record in Web of Science")</f>
        <v>View Full Record in Web of Science</v>
      </c>
    </row>
    <row r="483" spans="1:72" x14ac:dyDescent="0.15">
      <c r="A483" t="s">
        <v>72</v>
      </c>
      <c r="B483" t="s">
        <v>6509</v>
      </c>
      <c r="C483" t="s">
        <v>74</v>
      </c>
      <c r="D483" t="s">
        <v>74</v>
      </c>
      <c r="E483" t="s">
        <v>74</v>
      </c>
      <c r="F483" t="s">
        <v>6509</v>
      </c>
      <c r="G483" t="s">
        <v>74</v>
      </c>
      <c r="H483" t="s">
        <v>74</v>
      </c>
      <c r="I483" t="s">
        <v>6510</v>
      </c>
      <c r="J483" t="s">
        <v>2978</v>
      </c>
      <c r="K483" t="s">
        <v>74</v>
      </c>
      <c r="L483" t="s">
        <v>74</v>
      </c>
      <c r="M483" t="s">
        <v>77</v>
      </c>
      <c r="N483" t="s">
        <v>78</v>
      </c>
      <c r="O483" t="s">
        <v>74</v>
      </c>
      <c r="P483" t="s">
        <v>74</v>
      </c>
      <c r="Q483" t="s">
        <v>74</v>
      </c>
      <c r="R483" t="s">
        <v>74</v>
      </c>
      <c r="S483" t="s">
        <v>74</v>
      </c>
      <c r="T483" t="s">
        <v>6511</v>
      </c>
      <c r="U483" t="s">
        <v>6512</v>
      </c>
      <c r="V483" t="s">
        <v>6513</v>
      </c>
      <c r="W483" t="s">
        <v>6514</v>
      </c>
      <c r="X483" t="s">
        <v>6515</v>
      </c>
      <c r="Y483" t="s">
        <v>6516</v>
      </c>
      <c r="Z483" t="s">
        <v>74</v>
      </c>
      <c r="AA483" t="s">
        <v>6517</v>
      </c>
      <c r="AB483" t="s">
        <v>6518</v>
      </c>
      <c r="AC483" t="s">
        <v>74</v>
      </c>
      <c r="AD483" t="s">
        <v>74</v>
      </c>
      <c r="AE483" t="s">
        <v>74</v>
      </c>
      <c r="AF483" t="s">
        <v>74</v>
      </c>
      <c r="AG483">
        <v>35</v>
      </c>
      <c r="AH483">
        <v>11</v>
      </c>
      <c r="AI483">
        <v>13</v>
      </c>
      <c r="AJ483">
        <v>0</v>
      </c>
      <c r="AK483">
        <v>4</v>
      </c>
      <c r="AL483" t="s">
        <v>2057</v>
      </c>
      <c r="AM483" t="s">
        <v>554</v>
      </c>
      <c r="AN483" t="s">
        <v>2058</v>
      </c>
      <c r="AO483" t="s">
        <v>2979</v>
      </c>
      <c r="AP483" t="s">
        <v>74</v>
      </c>
      <c r="AQ483" t="s">
        <v>74</v>
      </c>
      <c r="AR483" t="s">
        <v>2980</v>
      </c>
      <c r="AS483" t="s">
        <v>2981</v>
      </c>
      <c r="AT483" t="s">
        <v>6460</v>
      </c>
      <c r="AU483">
        <v>1999</v>
      </c>
      <c r="AV483">
        <v>11</v>
      </c>
      <c r="AW483">
        <v>2</v>
      </c>
      <c r="AX483" t="s">
        <v>74</v>
      </c>
      <c r="AY483" t="s">
        <v>74</v>
      </c>
      <c r="AZ483" t="s">
        <v>74</v>
      </c>
      <c r="BA483" t="s">
        <v>74</v>
      </c>
      <c r="BB483">
        <v>160</v>
      </c>
      <c r="BC483">
        <v>174</v>
      </c>
      <c r="BD483" t="s">
        <v>74</v>
      </c>
      <c r="BE483" t="s">
        <v>6519</v>
      </c>
      <c r="BF483" t="str">
        <f>HYPERLINK("http://dx.doi.org/10.1017/S0954102099000231","http://dx.doi.org/10.1017/S0954102099000231")</f>
        <v>http://dx.doi.org/10.1017/S0954102099000231</v>
      </c>
      <c r="BG483" t="s">
        <v>74</v>
      </c>
      <c r="BH483" t="s">
        <v>74</v>
      </c>
      <c r="BI483">
        <v>15</v>
      </c>
      <c r="BJ483" t="s">
        <v>2984</v>
      </c>
      <c r="BK483" t="s">
        <v>96</v>
      </c>
      <c r="BL483" t="s">
        <v>2985</v>
      </c>
      <c r="BM483" t="s">
        <v>6469</v>
      </c>
      <c r="BN483" t="s">
        <v>74</v>
      </c>
      <c r="BO483" t="s">
        <v>74</v>
      </c>
      <c r="BP483" t="s">
        <v>74</v>
      </c>
      <c r="BQ483" t="s">
        <v>74</v>
      </c>
      <c r="BR483" t="s">
        <v>99</v>
      </c>
      <c r="BS483" t="s">
        <v>6520</v>
      </c>
      <c r="BT483" t="str">
        <f>HYPERLINK("https%3A%2F%2Fwww.webofscience.com%2Fwos%2Fwoscc%2Ffull-record%2FWOS:000084414100006","View Full Record in Web of Science")</f>
        <v>View Full Record in Web of Science</v>
      </c>
    </row>
    <row r="484" spans="1:72" x14ac:dyDescent="0.15">
      <c r="A484" t="s">
        <v>72</v>
      </c>
      <c r="B484" t="s">
        <v>6521</v>
      </c>
      <c r="C484" t="s">
        <v>74</v>
      </c>
      <c r="D484" t="s">
        <v>74</v>
      </c>
      <c r="E484" t="s">
        <v>74</v>
      </c>
      <c r="F484" t="s">
        <v>6521</v>
      </c>
      <c r="G484" t="s">
        <v>74</v>
      </c>
      <c r="H484" t="s">
        <v>74</v>
      </c>
      <c r="I484" t="s">
        <v>6522</v>
      </c>
      <c r="J484" t="s">
        <v>2978</v>
      </c>
      <c r="K484" t="s">
        <v>74</v>
      </c>
      <c r="L484" t="s">
        <v>74</v>
      </c>
      <c r="M484" t="s">
        <v>77</v>
      </c>
      <c r="N484" t="s">
        <v>78</v>
      </c>
      <c r="O484" t="s">
        <v>74</v>
      </c>
      <c r="P484" t="s">
        <v>74</v>
      </c>
      <c r="Q484" t="s">
        <v>74</v>
      </c>
      <c r="R484" t="s">
        <v>74</v>
      </c>
      <c r="S484" t="s">
        <v>74</v>
      </c>
      <c r="T484" t="s">
        <v>6523</v>
      </c>
      <c r="U484" t="s">
        <v>6524</v>
      </c>
      <c r="V484" t="s">
        <v>6525</v>
      </c>
      <c r="W484" t="s">
        <v>6526</v>
      </c>
      <c r="X484" t="s">
        <v>2279</v>
      </c>
      <c r="Y484" t="s">
        <v>6527</v>
      </c>
      <c r="Z484" t="s">
        <v>74</v>
      </c>
      <c r="AA484" t="s">
        <v>74</v>
      </c>
      <c r="AB484" t="s">
        <v>74</v>
      </c>
      <c r="AC484" t="s">
        <v>74</v>
      </c>
      <c r="AD484" t="s">
        <v>74</v>
      </c>
      <c r="AE484" t="s">
        <v>74</v>
      </c>
      <c r="AF484" t="s">
        <v>74</v>
      </c>
      <c r="AG484">
        <v>52</v>
      </c>
      <c r="AH484">
        <v>90</v>
      </c>
      <c r="AI484">
        <v>94</v>
      </c>
      <c r="AJ484">
        <v>0</v>
      </c>
      <c r="AK484">
        <v>17</v>
      </c>
      <c r="AL484" t="s">
        <v>2057</v>
      </c>
      <c r="AM484" t="s">
        <v>554</v>
      </c>
      <c r="AN484" t="s">
        <v>2058</v>
      </c>
      <c r="AO484" t="s">
        <v>2979</v>
      </c>
      <c r="AP484" t="s">
        <v>74</v>
      </c>
      <c r="AQ484" t="s">
        <v>74</v>
      </c>
      <c r="AR484" t="s">
        <v>2980</v>
      </c>
      <c r="AS484" t="s">
        <v>2981</v>
      </c>
      <c r="AT484" t="s">
        <v>6460</v>
      </c>
      <c r="AU484">
        <v>1999</v>
      </c>
      <c r="AV484">
        <v>11</v>
      </c>
      <c r="AW484">
        <v>2</v>
      </c>
      <c r="AX484" t="s">
        <v>74</v>
      </c>
      <c r="AY484" t="s">
        <v>74</v>
      </c>
      <c r="AZ484" t="s">
        <v>74</v>
      </c>
      <c r="BA484" t="s">
        <v>74</v>
      </c>
      <c r="BB484">
        <v>175</v>
      </c>
      <c r="BC484">
        <v>192</v>
      </c>
      <c r="BD484" t="s">
        <v>74</v>
      </c>
      <c r="BE484" t="s">
        <v>6528</v>
      </c>
      <c r="BF484" t="str">
        <f>HYPERLINK("http://dx.doi.org/10.1017/S0954102099000243","http://dx.doi.org/10.1017/S0954102099000243")</f>
        <v>http://dx.doi.org/10.1017/S0954102099000243</v>
      </c>
      <c r="BG484" t="s">
        <v>74</v>
      </c>
      <c r="BH484" t="s">
        <v>74</v>
      </c>
      <c r="BI484">
        <v>18</v>
      </c>
      <c r="BJ484" t="s">
        <v>2984</v>
      </c>
      <c r="BK484" t="s">
        <v>96</v>
      </c>
      <c r="BL484" t="s">
        <v>2985</v>
      </c>
      <c r="BM484" t="s">
        <v>6469</v>
      </c>
      <c r="BN484" t="s">
        <v>74</v>
      </c>
      <c r="BO484" t="s">
        <v>74</v>
      </c>
      <c r="BP484" t="s">
        <v>74</v>
      </c>
      <c r="BQ484" t="s">
        <v>74</v>
      </c>
      <c r="BR484" t="s">
        <v>99</v>
      </c>
      <c r="BS484" t="s">
        <v>6529</v>
      </c>
      <c r="BT484" t="str">
        <f>HYPERLINK("https%3A%2F%2Fwww.webofscience.com%2Fwos%2Fwoscc%2Ffull-record%2FWOS:000084414100007","View Full Record in Web of Science")</f>
        <v>View Full Record in Web of Science</v>
      </c>
    </row>
    <row r="485" spans="1:72" x14ac:dyDescent="0.15">
      <c r="A485" t="s">
        <v>72</v>
      </c>
      <c r="B485" t="s">
        <v>6530</v>
      </c>
      <c r="C485" t="s">
        <v>74</v>
      </c>
      <c r="D485" t="s">
        <v>74</v>
      </c>
      <c r="E485" t="s">
        <v>74</v>
      </c>
      <c r="F485" t="s">
        <v>6530</v>
      </c>
      <c r="G485" t="s">
        <v>74</v>
      </c>
      <c r="H485" t="s">
        <v>74</v>
      </c>
      <c r="I485" t="s">
        <v>6531</v>
      </c>
      <c r="J485" t="s">
        <v>2978</v>
      </c>
      <c r="K485" t="s">
        <v>74</v>
      </c>
      <c r="L485" t="s">
        <v>74</v>
      </c>
      <c r="M485" t="s">
        <v>77</v>
      </c>
      <c r="N485" t="s">
        <v>78</v>
      </c>
      <c r="O485" t="s">
        <v>74</v>
      </c>
      <c r="P485" t="s">
        <v>74</v>
      </c>
      <c r="Q485" t="s">
        <v>74</v>
      </c>
      <c r="R485" t="s">
        <v>74</v>
      </c>
      <c r="S485" t="s">
        <v>74</v>
      </c>
      <c r="T485" t="s">
        <v>6532</v>
      </c>
      <c r="U485" t="s">
        <v>6533</v>
      </c>
      <c r="V485" t="s">
        <v>6534</v>
      </c>
      <c r="W485" t="s">
        <v>6535</v>
      </c>
      <c r="X485" t="s">
        <v>4874</v>
      </c>
      <c r="Y485" t="s">
        <v>6536</v>
      </c>
      <c r="Z485" t="s">
        <v>74</v>
      </c>
      <c r="AA485" t="s">
        <v>6537</v>
      </c>
      <c r="AB485" t="s">
        <v>3818</v>
      </c>
      <c r="AC485" t="s">
        <v>74</v>
      </c>
      <c r="AD485" t="s">
        <v>74</v>
      </c>
      <c r="AE485" t="s">
        <v>74</v>
      </c>
      <c r="AF485" t="s">
        <v>74</v>
      </c>
      <c r="AG485">
        <v>20</v>
      </c>
      <c r="AH485">
        <v>56</v>
      </c>
      <c r="AI485">
        <v>60</v>
      </c>
      <c r="AJ485">
        <v>1</v>
      </c>
      <c r="AK485">
        <v>7</v>
      </c>
      <c r="AL485" t="s">
        <v>2057</v>
      </c>
      <c r="AM485" t="s">
        <v>554</v>
      </c>
      <c r="AN485" t="s">
        <v>2058</v>
      </c>
      <c r="AO485" t="s">
        <v>2979</v>
      </c>
      <c r="AP485" t="s">
        <v>74</v>
      </c>
      <c r="AQ485" t="s">
        <v>74</v>
      </c>
      <c r="AR485" t="s">
        <v>2980</v>
      </c>
      <c r="AS485" t="s">
        <v>2981</v>
      </c>
      <c r="AT485" t="s">
        <v>6460</v>
      </c>
      <c r="AU485">
        <v>1999</v>
      </c>
      <c r="AV485">
        <v>11</v>
      </c>
      <c r="AW485">
        <v>2</v>
      </c>
      <c r="AX485" t="s">
        <v>74</v>
      </c>
      <c r="AY485" t="s">
        <v>74</v>
      </c>
      <c r="AZ485" t="s">
        <v>74</v>
      </c>
      <c r="BA485" t="s">
        <v>74</v>
      </c>
      <c r="BB485">
        <v>193</v>
      </c>
      <c r="BC485">
        <v>197</v>
      </c>
      <c r="BD485" t="s">
        <v>74</v>
      </c>
      <c r="BE485" t="s">
        <v>6538</v>
      </c>
      <c r="BF485" t="str">
        <f>HYPERLINK("http://dx.doi.org/10.1017/S0954102099000255","http://dx.doi.org/10.1017/S0954102099000255")</f>
        <v>http://dx.doi.org/10.1017/S0954102099000255</v>
      </c>
      <c r="BG485" t="s">
        <v>74</v>
      </c>
      <c r="BH485" t="s">
        <v>74</v>
      </c>
      <c r="BI485">
        <v>5</v>
      </c>
      <c r="BJ485" t="s">
        <v>2984</v>
      </c>
      <c r="BK485" t="s">
        <v>96</v>
      </c>
      <c r="BL485" t="s">
        <v>2985</v>
      </c>
      <c r="BM485" t="s">
        <v>6469</v>
      </c>
      <c r="BN485" t="s">
        <v>74</v>
      </c>
      <c r="BO485" t="s">
        <v>74</v>
      </c>
      <c r="BP485" t="s">
        <v>74</v>
      </c>
      <c r="BQ485" t="s">
        <v>74</v>
      </c>
      <c r="BR485" t="s">
        <v>99</v>
      </c>
      <c r="BS485" t="s">
        <v>6539</v>
      </c>
      <c r="BT485" t="str">
        <f>HYPERLINK("https%3A%2F%2Fwww.webofscience.com%2Fwos%2Fwoscc%2Ffull-record%2FWOS:000084414100008","View Full Record in Web of Science")</f>
        <v>View Full Record in Web of Science</v>
      </c>
    </row>
    <row r="486" spans="1:72" x14ac:dyDescent="0.15">
      <c r="A486" t="s">
        <v>72</v>
      </c>
      <c r="B486" t="s">
        <v>6540</v>
      </c>
      <c r="C486" t="s">
        <v>74</v>
      </c>
      <c r="D486" t="s">
        <v>74</v>
      </c>
      <c r="E486" t="s">
        <v>74</v>
      </c>
      <c r="F486" t="s">
        <v>6540</v>
      </c>
      <c r="G486" t="s">
        <v>74</v>
      </c>
      <c r="H486" t="s">
        <v>74</v>
      </c>
      <c r="I486" t="s">
        <v>6541</v>
      </c>
      <c r="J486" t="s">
        <v>2978</v>
      </c>
      <c r="K486" t="s">
        <v>74</v>
      </c>
      <c r="L486" t="s">
        <v>74</v>
      </c>
      <c r="M486" t="s">
        <v>77</v>
      </c>
      <c r="N486" t="s">
        <v>78</v>
      </c>
      <c r="O486" t="s">
        <v>74</v>
      </c>
      <c r="P486" t="s">
        <v>74</v>
      </c>
      <c r="Q486" t="s">
        <v>74</v>
      </c>
      <c r="R486" t="s">
        <v>74</v>
      </c>
      <c r="S486" t="s">
        <v>74</v>
      </c>
      <c r="T486" t="s">
        <v>6542</v>
      </c>
      <c r="U486" t="s">
        <v>6543</v>
      </c>
      <c r="V486" t="s">
        <v>6544</v>
      </c>
      <c r="W486" t="s">
        <v>6545</v>
      </c>
      <c r="X486" t="s">
        <v>2774</v>
      </c>
      <c r="Y486" t="s">
        <v>6546</v>
      </c>
      <c r="Z486" t="s">
        <v>74</v>
      </c>
      <c r="AA486" t="s">
        <v>74</v>
      </c>
      <c r="AB486" t="s">
        <v>6547</v>
      </c>
      <c r="AC486" t="s">
        <v>74</v>
      </c>
      <c r="AD486" t="s">
        <v>74</v>
      </c>
      <c r="AE486" t="s">
        <v>74</v>
      </c>
      <c r="AF486" t="s">
        <v>74</v>
      </c>
      <c r="AG486">
        <v>19</v>
      </c>
      <c r="AH486">
        <v>44</v>
      </c>
      <c r="AI486">
        <v>47</v>
      </c>
      <c r="AJ486">
        <v>0</v>
      </c>
      <c r="AK486">
        <v>6</v>
      </c>
      <c r="AL486" t="s">
        <v>2057</v>
      </c>
      <c r="AM486" t="s">
        <v>554</v>
      </c>
      <c r="AN486" t="s">
        <v>2058</v>
      </c>
      <c r="AO486" t="s">
        <v>2979</v>
      </c>
      <c r="AP486" t="s">
        <v>74</v>
      </c>
      <c r="AQ486" t="s">
        <v>74</v>
      </c>
      <c r="AR486" t="s">
        <v>2980</v>
      </c>
      <c r="AS486" t="s">
        <v>2981</v>
      </c>
      <c r="AT486" t="s">
        <v>6460</v>
      </c>
      <c r="AU486">
        <v>1999</v>
      </c>
      <c r="AV486">
        <v>11</v>
      </c>
      <c r="AW486">
        <v>2</v>
      </c>
      <c r="AX486" t="s">
        <v>74</v>
      </c>
      <c r="AY486" t="s">
        <v>74</v>
      </c>
      <c r="AZ486" t="s">
        <v>74</v>
      </c>
      <c r="BA486" t="s">
        <v>74</v>
      </c>
      <c r="BB486">
        <v>198</v>
      </c>
      <c r="BC486">
        <v>208</v>
      </c>
      <c r="BD486" t="s">
        <v>74</v>
      </c>
      <c r="BE486" t="s">
        <v>6548</v>
      </c>
      <c r="BF486" t="str">
        <f>HYPERLINK("http://dx.doi.org/10.1017/S0954102099000267","http://dx.doi.org/10.1017/S0954102099000267")</f>
        <v>http://dx.doi.org/10.1017/S0954102099000267</v>
      </c>
      <c r="BG486" t="s">
        <v>74</v>
      </c>
      <c r="BH486" t="s">
        <v>74</v>
      </c>
      <c r="BI486">
        <v>11</v>
      </c>
      <c r="BJ486" t="s">
        <v>2984</v>
      </c>
      <c r="BK486" t="s">
        <v>96</v>
      </c>
      <c r="BL486" t="s">
        <v>2985</v>
      </c>
      <c r="BM486" t="s">
        <v>6469</v>
      </c>
      <c r="BN486" t="s">
        <v>74</v>
      </c>
      <c r="BO486" t="s">
        <v>74</v>
      </c>
      <c r="BP486" t="s">
        <v>74</v>
      </c>
      <c r="BQ486" t="s">
        <v>74</v>
      </c>
      <c r="BR486" t="s">
        <v>99</v>
      </c>
      <c r="BS486" t="s">
        <v>6549</v>
      </c>
      <c r="BT486" t="str">
        <f>HYPERLINK("https%3A%2F%2Fwww.webofscience.com%2Fwos%2Fwoscc%2Ffull-record%2FWOS:000084414100009","View Full Record in Web of Science")</f>
        <v>View Full Record in Web of Science</v>
      </c>
    </row>
    <row r="487" spans="1:72" x14ac:dyDescent="0.15">
      <c r="A487" t="s">
        <v>72</v>
      </c>
      <c r="B487" t="s">
        <v>6550</v>
      </c>
      <c r="C487" t="s">
        <v>74</v>
      </c>
      <c r="D487" t="s">
        <v>74</v>
      </c>
      <c r="E487" t="s">
        <v>74</v>
      </c>
      <c r="F487" t="s">
        <v>6550</v>
      </c>
      <c r="G487" t="s">
        <v>74</v>
      </c>
      <c r="H487" t="s">
        <v>74</v>
      </c>
      <c r="I487" t="s">
        <v>6551</v>
      </c>
      <c r="J487" t="s">
        <v>2978</v>
      </c>
      <c r="K487" t="s">
        <v>74</v>
      </c>
      <c r="L487" t="s">
        <v>74</v>
      </c>
      <c r="M487" t="s">
        <v>77</v>
      </c>
      <c r="N487" t="s">
        <v>78</v>
      </c>
      <c r="O487" t="s">
        <v>74</v>
      </c>
      <c r="P487" t="s">
        <v>74</v>
      </c>
      <c r="Q487" t="s">
        <v>74</v>
      </c>
      <c r="R487" t="s">
        <v>74</v>
      </c>
      <c r="S487" t="s">
        <v>74</v>
      </c>
      <c r="T487" t="s">
        <v>6552</v>
      </c>
      <c r="U487" t="s">
        <v>6553</v>
      </c>
      <c r="V487" t="s">
        <v>6554</v>
      </c>
      <c r="W487" t="s">
        <v>6555</v>
      </c>
      <c r="X487" t="s">
        <v>6556</v>
      </c>
      <c r="Y487" t="s">
        <v>6557</v>
      </c>
      <c r="Z487" t="s">
        <v>74</v>
      </c>
      <c r="AA487" t="s">
        <v>74</v>
      </c>
      <c r="AB487" t="s">
        <v>482</v>
      </c>
      <c r="AC487" t="s">
        <v>74</v>
      </c>
      <c r="AD487" t="s">
        <v>74</v>
      </c>
      <c r="AE487" t="s">
        <v>74</v>
      </c>
      <c r="AF487" t="s">
        <v>74</v>
      </c>
      <c r="AG487">
        <v>45</v>
      </c>
      <c r="AH487">
        <v>8</v>
      </c>
      <c r="AI487">
        <v>9</v>
      </c>
      <c r="AJ487">
        <v>0</v>
      </c>
      <c r="AK487">
        <v>2</v>
      </c>
      <c r="AL487" t="s">
        <v>2057</v>
      </c>
      <c r="AM487" t="s">
        <v>554</v>
      </c>
      <c r="AN487" t="s">
        <v>2058</v>
      </c>
      <c r="AO487" t="s">
        <v>2979</v>
      </c>
      <c r="AP487" t="s">
        <v>74</v>
      </c>
      <c r="AQ487" t="s">
        <v>74</v>
      </c>
      <c r="AR487" t="s">
        <v>2980</v>
      </c>
      <c r="AS487" t="s">
        <v>2981</v>
      </c>
      <c r="AT487" t="s">
        <v>6460</v>
      </c>
      <c r="AU487">
        <v>1999</v>
      </c>
      <c r="AV487">
        <v>11</v>
      </c>
      <c r="AW487">
        <v>2</v>
      </c>
      <c r="AX487" t="s">
        <v>74</v>
      </c>
      <c r="AY487" t="s">
        <v>74</v>
      </c>
      <c r="AZ487" t="s">
        <v>74</v>
      </c>
      <c r="BA487" t="s">
        <v>74</v>
      </c>
      <c r="BB487">
        <v>209</v>
      </c>
      <c r="BC487">
        <v>216</v>
      </c>
      <c r="BD487" t="s">
        <v>74</v>
      </c>
      <c r="BE487" t="s">
        <v>6558</v>
      </c>
      <c r="BF487" t="str">
        <f>HYPERLINK("http://dx.doi.org/10.1017/S0954102099000279","http://dx.doi.org/10.1017/S0954102099000279")</f>
        <v>http://dx.doi.org/10.1017/S0954102099000279</v>
      </c>
      <c r="BG487" t="s">
        <v>74</v>
      </c>
      <c r="BH487" t="s">
        <v>74</v>
      </c>
      <c r="BI487">
        <v>8</v>
      </c>
      <c r="BJ487" t="s">
        <v>2984</v>
      </c>
      <c r="BK487" t="s">
        <v>96</v>
      </c>
      <c r="BL487" t="s">
        <v>2985</v>
      </c>
      <c r="BM487" t="s">
        <v>6469</v>
      </c>
      <c r="BN487" t="s">
        <v>74</v>
      </c>
      <c r="BO487" t="s">
        <v>74</v>
      </c>
      <c r="BP487" t="s">
        <v>74</v>
      </c>
      <c r="BQ487" t="s">
        <v>74</v>
      </c>
      <c r="BR487" t="s">
        <v>99</v>
      </c>
      <c r="BS487" t="s">
        <v>6559</v>
      </c>
      <c r="BT487" t="str">
        <f>HYPERLINK("https%3A%2F%2Fwww.webofscience.com%2Fwos%2Fwoscc%2Ffull-record%2FWOS:000084414100010","View Full Record in Web of Science")</f>
        <v>View Full Record in Web of Science</v>
      </c>
    </row>
    <row r="488" spans="1:72" x14ac:dyDescent="0.15">
      <c r="A488" t="s">
        <v>72</v>
      </c>
      <c r="B488" t="s">
        <v>6560</v>
      </c>
      <c r="C488" t="s">
        <v>74</v>
      </c>
      <c r="D488" t="s">
        <v>74</v>
      </c>
      <c r="E488" t="s">
        <v>74</v>
      </c>
      <c r="F488" t="s">
        <v>6560</v>
      </c>
      <c r="G488" t="s">
        <v>74</v>
      </c>
      <c r="H488" t="s">
        <v>74</v>
      </c>
      <c r="I488" t="s">
        <v>6561</v>
      </c>
      <c r="J488" t="s">
        <v>2978</v>
      </c>
      <c r="K488" t="s">
        <v>74</v>
      </c>
      <c r="L488" t="s">
        <v>74</v>
      </c>
      <c r="M488" t="s">
        <v>77</v>
      </c>
      <c r="N488" t="s">
        <v>78</v>
      </c>
      <c r="O488" t="s">
        <v>74</v>
      </c>
      <c r="P488" t="s">
        <v>74</v>
      </c>
      <c r="Q488" t="s">
        <v>74</v>
      </c>
      <c r="R488" t="s">
        <v>74</v>
      </c>
      <c r="S488" t="s">
        <v>74</v>
      </c>
      <c r="T488" t="s">
        <v>6562</v>
      </c>
      <c r="U488" t="s">
        <v>6563</v>
      </c>
      <c r="V488" t="s">
        <v>6564</v>
      </c>
      <c r="W488" t="s">
        <v>6565</v>
      </c>
      <c r="X488" t="s">
        <v>6566</v>
      </c>
      <c r="Y488" t="s">
        <v>6567</v>
      </c>
      <c r="Z488" t="s">
        <v>74</v>
      </c>
      <c r="AA488" t="s">
        <v>6568</v>
      </c>
      <c r="AB488" t="s">
        <v>6569</v>
      </c>
      <c r="AC488" t="s">
        <v>74</v>
      </c>
      <c r="AD488" t="s">
        <v>74</v>
      </c>
      <c r="AE488" t="s">
        <v>74</v>
      </c>
      <c r="AF488" t="s">
        <v>74</v>
      </c>
      <c r="AG488">
        <v>34</v>
      </c>
      <c r="AH488">
        <v>11</v>
      </c>
      <c r="AI488">
        <v>12</v>
      </c>
      <c r="AJ488">
        <v>0</v>
      </c>
      <c r="AK488">
        <v>1</v>
      </c>
      <c r="AL488" t="s">
        <v>2057</v>
      </c>
      <c r="AM488" t="s">
        <v>554</v>
      </c>
      <c r="AN488" t="s">
        <v>2058</v>
      </c>
      <c r="AO488" t="s">
        <v>2979</v>
      </c>
      <c r="AP488" t="s">
        <v>74</v>
      </c>
      <c r="AQ488" t="s">
        <v>74</v>
      </c>
      <c r="AR488" t="s">
        <v>2980</v>
      </c>
      <c r="AS488" t="s">
        <v>2981</v>
      </c>
      <c r="AT488" t="s">
        <v>6460</v>
      </c>
      <c r="AU488">
        <v>1999</v>
      </c>
      <c r="AV488">
        <v>11</v>
      </c>
      <c r="AW488">
        <v>2</v>
      </c>
      <c r="AX488" t="s">
        <v>74</v>
      </c>
      <c r="AY488" t="s">
        <v>74</v>
      </c>
      <c r="AZ488" t="s">
        <v>74</v>
      </c>
      <c r="BA488" t="s">
        <v>74</v>
      </c>
      <c r="BB488">
        <v>217</v>
      </c>
      <c r="BC488">
        <v>227</v>
      </c>
      <c r="BD488" t="s">
        <v>74</v>
      </c>
      <c r="BE488" t="s">
        <v>6570</v>
      </c>
      <c r="BF488" t="str">
        <f>HYPERLINK("http://dx.doi.org/10.1017/S0954102099000280","http://dx.doi.org/10.1017/S0954102099000280")</f>
        <v>http://dx.doi.org/10.1017/S0954102099000280</v>
      </c>
      <c r="BG488" t="s">
        <v>74</v>
      </c>
      <c r="BH488" t="s">
        <v>74</v>
      </c>
      <c r="BI488">
        <v>11</v>
      </c>
      <c r="BJ488" t="s">
        <v>2984</v>
      </c>
      <c r="BK488" t="s">
        <v>96</v>
      </c>
      <c r="BL488" t="s">
        <v>2985</v>
      </c>
      <c r="BM488" t="s">
        <v>6469</v>
      </c>
      <c r="BN488" t="s">
        <v>74</v>
      </c>
      <c r="BO488" t="s">
        <v>74</v>
      </c>
      <c r="BP488" t="s">
        <v>74</v>
      </c>
      <c r="BQ488" t="s">
        <v>74</v>
      </c>
      <c r="BR488" t="s">
        <v>99</v>
      </c>
      <c r="BS488" t="s">
        <v>6571</v>
      </c>
      <c r="BT488" t="str">
        <f>HYPERLINK("https%3A%2F%2Fwww.webofscience.com%2Fwos%2Fwoscc%2Ffull-record%2FWOS:000084414100011","View Full Record in Web of Science")</f>
        <v>View Full Record in Web of Science</v>
      </c>
    </row>
    <row r="489" spans="1:72" x14ac:dyDescent="0.15">
      <c r="A489" t="s">
        <v>72</v>
      </c>
      <c r="B489" t="s">
        <v>6572</v>
      </c>
      <c r="C489" t="s">
        <v>74</v>
      </c>
      <c r="D489" t="s">
        <v>74</v>
      </c>
      <c r="E489" t="s">
        <v>74</v>
      </c>
      <c r="F489" t="s">
        <v>6572</v>
      </c>
      <c r="G489" t="s">
        <v>74</v>
      </c>
      <c r="H489" t="s">
        <v>74</v>
      </c>
      <c r="I489" t="s">
        <v>6573</v>
      </c>
      <c r="J489" t="s">
        <v>2978</v>
      </c>
      <c r="K489" t="s">
        <v>74</v>
      </c>
      <c r="L489" t="s">
        <v>74</v>
      </c>
      <c r="M489" t="s">
        <v>77</v>
      </c>
      <c r="N489" t="s">
        <v>78</v>
      </c>
      <c r="O489" t="s">
        <v>74</v>
      </c>
      <c r="P489" t="s">
        <v>74</v>
      </c>
      <c r="Q489" t="s">
        <v>74</v>
      </c>
      <c r="R489" t="s">
        <v>74</v>
      </c>
      <c r="S489" t="s">
        <v>74</v>
      </c>
      <c r="T489" t="s">
        <v>6574</v>
      </c>
      <c r="U489" t="s">
        <v>6575</v>
      </c>
      <c r="V489" t="s">
        <v>6576</v>
      </c>
      <c r="W489" t="s">
        <v>6577</v>
      </c>
      <c r="X489" t="s">
        <v>6578</v>
      </c>
      <c r="Y489" t="s">
        <v>6579</v>
      </c>
      <c r="Z489" t="s">
        <v>74</v>
      </c>
      <c r="AA489" t="s">
        <v>74</v>
      </c>
      <c r="AB489" t="s">
        <v>74</v>
      </c>
      <c r="AC489" t="s">
        <v>74</v>
      </c>
      <c r="AD489" t="s">
        <v>74</v>
      </c>
      <c r="AE489" t="s">
        <v>74</v>
      </c>
      <c r="AF489" t="s">
        <v>74</v>
      </c>
      <c r="AG489">
        <v>57</v>
      </c>
      <c r="AH489">
        <v>45</v>
      </c>
      <c r="AI489">
        <v>50</v>
      </c>
      <c r="AJ489">
        <v>0</v>
      </c>
      <c r="AK489">
        <v>4</v>
      </c>
      <c r="AL489" t="s">
        <v>2057</v>
      </c>
      <c r="AM489" t="s">
        <v>554</v>
      </c>
      <c r="AN489" t="s">
        <v>2058</v>
      </c>
      <c r="AO489" t="s">
        <v>2979</v>
      </c>
      <c r="AP489" t="s">
        <v>74</v>
      </c>
      <c r="AQ489" t="s">
        <v>74</v>
      </c>
      <c r="AR489" t="s">
        <v>2980</v>
      </c>
      <c r="AS489" t="s">
        <v>2981</v>
      </c>
      <c r="AT489" t="s">
        <v>6460</v>
      </c>
      <c r="AU489">
        <v>1999</v>
      </c>
      <c r="AV489">
        <v>11</v>
      </c>
      <c r="AW489">
        <v>2</v>
      </c>
      <c r="AX489" t="s">
        <v>74</v>
      </c>
      <c r="AY489" t="s">
        <v>74</v>
      </c>
      <c r="AZ489" t="s">
        <v>74</v>
      </c>
      <c r="BA489" t="s">
        <v>74</v>
      </c>
      <c r="BB489">
        <v>228</v>
      </c>
      <c r="BC489">
        <v>238</v>
      </c>
      <c r="BD489" t="s">
        <v>74</v>
      </c>
      <c r="BE489" t="s">
        <v>6580</v>
      </c>
      <c r="BF489" t="str">
        <f>HYPERLINK("http://dx.doi.org/10.1017/S0954102099000292","http://dx.doi.org/10.1017/S0954102099000292")</f>
        <v>http://dx.doi.org/10.1017/S0954102099000292</v>
      </c>
      <c r="BG489" t="s">
        <v>74</v>
      </c>
      <c r="BH489" t="s">
        <v>74</v>
      </c>
      <c r="BI489">
        <v>11</v>
      </c>
      <c r="BJ489" t="s">
        <v>2984</v>
      </c>
      <c r="BK489" t="s">
        <v>96</v>
      </c>
      <c r="BL489" t="s">
        <v>2985</v>
      </c>
      <c r="BM489" t="s">
        <v>6469</v>
      </c>
      <c r="BN489" t="s">
        <v>74</v>
      </c>
      <c r="BO489" t="s">
        <v>74</v>
      </c>
      <c r="BP489" t="s">
        <v>74</v>
      </c>
      <c r="BQ489" t="s">
        <v>74</v>
      </c>
      <c r="BR489" t="s">
        <v>99</v>
      </c>
      <c r="BS489" t="s">
        <v>6581</v>
      </c>
      <c r="BT489" t="str">
        <f>HYPERLINK("https%3A%2F%2Fwww.webofscience.com%2Fwos%2Fwoscc%2Ffull-record%2FWOS:000084414100012","View Full Record in Web of Science")</f>
        <v>View Full Record in Web of Science</v>
      </c>
    </row>
    <row r="490" spans="1:72" x14ac:dyDescent="0.15">
      <c r="A490" t="s">
        <v>72</v>
      </c>
      <c r="B490" t="s">
        <v>6582</v>
      </c>
      <c r="C490" t="s">
        <v>74</v>
      </c>
      <c r="D490" t="s">
        <v>74</v>
      </c>
      <c r="E490" t="s">
        <v>74</v>
      </c>
      <c r="F490" t="s">
        <v>6582</v>
      </c>
      <c r="G490" t="s">
        <v>74</v>
      </c>
      <c r="H490" t="s">
        <v>74</v>
      </c>
      <c r="I490" t="s">
        <v>6583</v>
      </c>
      <c r="J490" t="s">
        <v>2978</v>
      </c>
      <c r="K490" t="s">
        <v>74</v>
      </c>
      <c r="L490" t="s">
        <v>74</v>
      </c>
      <c r="M490" t="s">
        <v>77</v>
      </c>
      <c r="N490" t="s">
        <v>78</v>
      </c>
      <c r="O490" t="s">
        <v>74</v>
      </c>
      <c r="P490" t="s">
        <v>74</v>
      </c>
      <c r="Q490" t="s">
        <v>74</v>
      </c>
      <c r="R490" t="s">
        <v>74</v>
      </c>
      <c r="S490" t="s">
        <v>74</v>
      </c>
      <c r="T490" t="s">
        <v>6584</v>
      </c>
      <c r="U490" t="s">
        <v>6585</v>
      </c>
      <c r="V490" t="s">
        <v>6586</v>
      </c>
      <c r="W490" t="s">
        <v>6587</v>
      </c>
      <c r="X490" t="s">
        <v>6588</v>
      </c>
      <c r="Y490" t="s">
        <v>6589</v>
      </c>
      <c r="Z490" t="s">
        <v>74</v>
      </c>
      <c r="AA490" t="s">
        <v>74</v>
      </c>
      <c r="AB490" t="s">
        <v>6590</v>
      </c>
      <c r="AC490" t="s">
        <v>74</v>
      </c>
      <c r="AD490" t="s">
        <v>74</v>
      </c>
      <c r="AE490" t="s">
        <v>74</v>
      </c>
      <c r="AF490" t="s">
        <v>74</v>
      </c>
      <c r="AG490">
        <v>59</v>
      </c>
      <c r="AH490">
        <v>40</v>
      </c>
      <c r="AI490">
        <v>44</v>
      </c>
      <c r="AJ490">
        <v>0</v>
      </c>
      <c r="AK490">
        <v>7</v>
      </c>
      <c r="AL490" t="s">
        <v>2057</v>
      </c>
      <c r="AM490" t="s">
        <v>554</v>
      </c>
      <c r="AN490" t="s">
        <v>2058</v>
      </c>
      <c r="AO490" t="s">
        <v>2979</v>
      </c>
      <c r="AP490" t="s">
        <v>74</v>
      </c>
      <c r="AQ490" t="s">
        <v>74</v>
      </c>
      <c r="AR490" t="s">
        <v>2980</v>
      </c>
      <c r="AS490" t="s">
        <v>2981</v>
      </c>
      <c r="AT490" t="s">
        <v>6460</v>
      </c>
      <c r="AU490">
        <v>1999</v>
      </c>
      <c r="AV490">
        <v>11</v>
      </c>
      <c r="AW490">
        <v>2</v>
      </c>
      <c r="AX490" t="s">
        <v>74</v>
      </c>
      <c r="AY490" t="s">
        <v>74</v>
      </c>
      <c r="AZ490" t="s">
        <v>74</v>
      </c>
      <c r="BA490" t="s">
        <v>74</v>
      </c>
      <c r="BB490">
        <v>239</v>
      </c>
      <c r="BC490">
        <v>255</v>
      </c>
      <c r="BD490" t="s">
        <v>74</v>
      </c>
      <c r="BE490" t="s">
        <v>6591</v>
      </c>
      <c r="BF490" t="str">
        <f>HYPERLINK("http://dx.doi.org/10.1017/S0954102099000309","http://dx.doi.org/10.1017/S0954102099000309")</f>
        <v>http://dx.doi.org/10.1017/S0954102099000309</v>
      </c>
      <c r="BG490" t="s">
        <v>74</v>
      </c>
      <c r="BH490" t="s">
        <v>74</v>
      </c>
      <c r="BI490">
        <v>17</v>
      </c>
      <c r="BJ490" t="s">
        <v>2984</v>
      </c>
      <c r="BK490" t="s">
        <v>96</v>
      </c>
      <c r="BL490" t="s">
        <v>2985</v>
      </c>
      <c r="BM490" t="s">
        <v>6469</v>
      </c>
      <c r="BN490" t="s">
        <v>74</v>
      </c>
      <c r="BO490" t="s">
        <v>74</v>
      </c>
      <c r="BP490" t="s">
        <v>74</v>
      </c>
      <c r="BQ490" t="s">
        <v>74</v>
      </c>
      <c r="BR490" t="s">
        <v>99</v>
      </c>
      <c r="BS490" t="s">
        <v>6592</v>
      </c>
      <c r="BT490" t="str">
        <f>HYPERLINK("https%3A%2F%2Fwww.webofscience.com%2Fwos%2Fwoscc%2Ffull-record%2FWOS:000084414100013","View Full Record in Web of Science")</f>
        <v>View Full Record in Web of Science</v>
      </c>
    </row>
    <row r="491" spans="1:72" x14ac:dyDescent="0.15">
      <c r="A491" t="s">
        <v>72</v>
      </c>
      <c r="B491" t="s">
        <v>6593</v>
      </c>
      <c r="C491" t="s">
        <v>74</v>
      </c>
      <c r="D491" t="s">
        <v>74</v>
      </c>
      <c r="E491" t="s">
        <v>74</v>
      </c>
      <c r="F491" t="s">
        <v>6593</v>
      </c>
      <c r="G491" t="s">
        <v>74</v>
      </c>
      <c r="H491" t="s">
        <v>74</v>
      </c>
      <c r="I491" t="s">
        <v>6594</v>
      </c>
      <c r="J491" t="s">
        <v>2978</v>
      </c>
      <c r="K491" t="s">
        <v>74</v>
      </c>
      <c r="L491" t="s">
        <v>74</v>
      </c>
      <c r="M491" t="s">
        <v>77</v>
      </c>
      <c r="N491" t="s">
        <v>78</v>
      </c>
      <c r="O491" t="s">
        <v>74</v>
      </c>
      <c r="P491" t="s">
        <v>74</v>
      </c>
      <c r="Q491" t="s">
        <v>74</v>
      </c>
      <c r="R491" t="s">
        <v>74</v>
      </c>
      <c r="S491" t="s">
        <v>74</v>
      </c>
      <c r="T491" t="s">
        <v>6595</v>
      </c>
      <c r="U491" t="s">
        <v>74</v>
      </c>
      <c r="V491" t="s">
        <v>6596</v>
      </c>
      <c r="W491" t="s">
        <v>6597</v>
      </c>
      <c r="X491" t="s">
        <v>6598</v>
      </c>
      <c r="Y491" t="s">
        <v>6599</v>
      </c>
      <c r="Z491" t="s">
        <v>74</v>
      </c>
      <c r="AA491" t="s">
        <v>74</v>
      </c>
      <c r="AB491" t="s">
        <v>74</v>
      </c>
      <c r="AC491" t="s">
        <v>74</v>
      </c>
      <c r="AD491" t="s">
        <v>74</v>
      </c>
      <c r="AE491" t="s">
        <v>74</v>
      </c>
      <c r="AF491" t="s">
        <v>74</v>
      </c>
      <c r="AG491">
        <v>19</v>
      </c>
      <c r="AH491">
        <v>13</v>
      </c>
      <c r="AI491">
        <v>15</v>
      </c>
      <c r="AJ491">
        <v>1</v>
      </c>
      <c r="AK491">
        <v>3</v>
      </c>
      <c r="AL491" t="s">
        <v>2057</v>
      </c>
      <c r="AM491" t="s">
        <v>554</v>
      </c>
      <c r="AN491" t="s">
        <v>2058</v>
      </c>
      <c r="AO491" t="s">
        <v>2979</v>
      </c>
      <c r="AP491" t="s">
        <v>74</v>
      </c>
      <c r="AQ491" t="s">
        <v>74</v>
      </c>
      <c r="AR491" t="s">
        <v>2980</v>
      </c>
      <c r="AS491" t="s">
        <v>2981</v>
      </c>
      <c r="AT491" t="s">
        <v>6460</v>
      </c>
      <c r="AU491">
        <v>1999</v>
      </c>
      <c r="AV491">
        <v>11</v>
      </c>
      <c r="AW491">
        <v>2</v>
      </c>
      <c r="AX491" t="s">
        <v>74</v>
      </c>
      <c r="AY491" t="s">
        <v>74</v>
      </c>
      <c r="AZ491" t="s">
        <v>74</v>
      </c>
      <c r="BA491" t="s">
        <v>74</v>
      </c>
      <c r="BB491">
        <v>256</v>
      </c>
      <c r="BC491">
        <v>260</v>
      </c>
      <c r="BD491" t="s">
        <v>74</v>
      </c>
      <c r="BE491" t="s">
        <v>6600</v>
      </c>
      <c r="BF491" t="str">
        <f>HYPERLINK("http://dx.doi.org/10.1017/S0954102099000310","http://dx.doi.org/10.1017/S0954102099000310")</f>
        <v>http://dx.doi.org/10.1017/S0954102099000310</v>
      </c>
      <c r="BG491" t="s">
        <v>74</v>
      </c>
      <c r="BH491" t="s">
        <v>74</v>
      </c>
      <c r="BI491">
        <v>5</v>
      </c>
      <c r="BJ491" t="s">
        <v>2984</v>
      </c>
      <c r="BK491" t="s">
        <v>96</v>
      </c>
      <c r="BL491" t="s">
        <v>2985</v>
      </c>
      <c r="BM491" t="s">
        <v>6469</v>
      </c>
      <c r="BN491" t="s">
        <v>74</v>
      </c>
      <c r="BO491" t="s">
        <v>74</v>
      </c>
      <c r="BP491" t="s">
        <v>74</v>
      </c>
      <c r="BQ491" t="s">
        <v>74</v>
      </c>
      <c r="BR491" t="s">
        <v>99</v>
      </c>
      <c r="BS491" t="s">
        <v>6601</v>
      </c>
      <c r="BT491" t="str">
        <f>HYPERLINK("https%3A%2F%2Fwww.webofscience.com%2Fwos%2Fwoscc%2Ffull-record%2FWOS:000084414100014","View Full Record in Web of Science")</f>
        <v>View Full Record in Web of Science</v>
      </c>
    </row>
    <row r="492" spans="1:72" x14ac:dyDescent="0.15">
      <c r="A492" t="s">
        <v>72</v>
      </c>
      <c r="B492" t="s">
        <v>6602</v>
      </c>
      <c r="C492" t="s">
        <v>74</v>
      </c>
      <c r="D492" t="s">
        <v>74</v>
      </c>
      <c r="E492" t="s">
        <v>74</v>
      </c>
      <c r="F492" t="s">
        <v>6602</v>
      </c>
      <c r="G492" t="s">
        <v>74</v>
      </c>
      <c r="H492" t="s">
        <v>74</v>
      </c>
      <c r="I492" t="s">
        <v>6603</v>
      </c>
      <c r="J492" t="s">
        <v>2978</v>
      </c>
      <c r="K492" t="s">
        <v>74</v>
      </c>
      <c r="L492" t="s">
        <v>74</v>
      </c>
      <c r="M492" t="s">
        <v>77</v>
      </c>
      <c r="N492" t="s">
        <v>78</v>
      </c>
      <c r="O492" t="s">
        <v>74</v>
      </c>
      <c r="P492" t="s">
        <v>74</v>
      </c>
      <c r="Q492" t="s">
        <v>74</v>
      </c>
      <c r="R492" t="s">
        <v>74</v>
      </c>
      <c r="S492" t="s">
        <v>74</v>
      </c>
      <c r="T492" t="s">
        <v>6604</v>
      </c>
      <c r="U492" t="s">
        <v>6605</v>
      </c>
      <c r="V492" t="s">
        <v>6606</v>
      </c>
      <c r="W492" t="s">
        <v>6607</v>
      </c>
      <c r="X492" t="s">
        <v>6608</v>
      </c>
      <c r="Y492" t="s">
        <v>6609</v>
      </c>
      <c r="Z492" t="s">
        <v>74</v>
      </c>
      <c r="AA492" t="s">
        <v>74</v>
      </c>
      <c r="AB492" t="s">
        <v>6610</v>
      </c>
      <c r="AC492" t="s">
        <v>74</v>
      </c>
      <c r="AD492" t="s">
        <v>74</v>
      </c>
      <c r="AE492" t="s">
        <v>74</v>
      </c>
      <c r="AF492" t="s">
        <v>74</v>
      </c>
      <c r="AG492">
        <v>13</v>
      </c>
      <c r="AH492">
        <v>7</v>
      </c>
      <c r="AI492">
        <v>7</v>
      </c>
      <c r="AJ492">
        <v>0</v>
      </c>
      <c r="AK492">
        <v>0</v>
      </c>
      <c r="AL492" t="s">
        <v>2057</v>
      </c>
      <c r="AM492" t="s">
        <v>554</v>
      </c>
      <c r="AN492" t="s">
        <v>2058</v>
      </c>
      <c r="AO492" t="s">
        <v>2979</v>
      </c>
      <c r="AP492" t="s">
        <v>74</v>
      </c>
      <c r="AQ492" t="s">
        <v>74</v>
      </c>
      <c r="AR492" t="s">
        <v>2980</v>
      </c>
      <c r="AS492" t="s">
        <v>2981</v>
      </c>
      <c r="AT492" t="s">
        <v>6460</v>
      </c>
      <c r="AU492">
        <v>1999</v>
      </c>
      <c r="AV492">
        <v>11</v>
      </c>
      <c r="AW492">
        <v>2</v>
      </c>
      <c r="AX492" t="s">
        <v>74</v>
      </c>
      <c r="AY492" t="s">
        <v>74</v>
      </c>
      <c r="AZ492" t="s">
        <v>74</v>
      </c>
      <c r="BA492" t="s">
        <v>74</v>
      </c>
      <c r="BB492">
        <v>261</v>
      </c>
      <c r="BC492">
        <v>264</v>
      </c>
      <c r="BD492" t="s">
        <v>74</v>
      </c>
      <c r="BE492" t="s">
        <v>6611</v>
      </c>
      <c r="BF492" t="str">
        <f>HYPERLINK("http://dx.doi.org/10.1017/S0954102099000322","http://dx.doi.org/10.1017/S0954102099000322")</f>
        <v>http://dx.doi.org/10.1017/S0954102099000322</v>
      </c>
      <c r="BG492" t="s">
        <v>74</v>
      </c>
      <c r="BH492" t="s">
        <v>74</v>
      </c>
      <c r="BI492">
        <v>4</v>
      </c>
      <c r="BJ492" t="s">
        <v>2984</v>
      </c>
      <c r="BK492" t="s">
        <v>96</v>
      </c>
      <c r="BL492" t="s">
        <v>2985</v>
      </c>
      <c r="BM492" t="s">
        <v>6469</v>
      </c>
      <c r="BN492" t="s">
        <v>74</v>
      </c>
      <c r="BO492" t="s">
        <v>74</v>
      </c>
      <c r="BP492" t="s">
        <v>74</v>
      </c>
      <c r="BQ492" t="s">
        <v>74</v>
      </c>
      <c r="BR492" t="s">
        <v>99</v>
      </c>
      <c r="BS492" t="s">
        <v>6612</v>
      </c>
      <c r="BT492" t="str">
        <f>HYPERLINK("https%3A%2F%2Fwww.webofscience.com%2Fwos%2Fwoscc%2Ffull-record%2FWOS:000084414100015","View Full Record in Web of Science")</f>
        <v>View Full Record in Web of Science</v>
      </c>
    </row>
    <row r="493" spans="1:72" x14ac:dyDescent="0.15">
      <c r="A493" t="s">
        <v>72</v>
      </c>
      <c r="B493" t="s">
        <v>6613</v>
      </c>
      <c r="C493" t="s">
        <v>74</v>
      </c>
      <c r="D493" t="s">
        <v>74</v>
      </c>
      <c r="E493" t="s">
        <v>74</v>
      </c>
      <c r="F493" t="s">
        <v>6613</v>
      </c>
      <c r="G493" t="s">
        <v>74</v>
      </c>
      <c r="H493" t="s">
        <v>74</v>
      </c>
      <c r="I493" t="s">
        <v>6614</v>
      </c>
      <c r="J493" t="s">
        <v>3096</v>
      </c>
      <c r="K493" t="s">
        <v>74</v>
      </c>
      <c r="L493" t="s">
        <v>74</v>
      </c>
      <c r="M493" t="s">
        <v>77</v>
      </c>
      <c r="N493" t="s">
        <v>78</v>
      </c>
      <c r="O493" t="s">
        <v>74</v>
      </c>
      <c r="P493" t="s">
        <v>74</v>
      </c>
      <c r="Q493" t="s">
        <v>74</v>
      </c>
      <c r="R493" t="s">
        <v>74</v>
      </c>
      <c r="S493" t="s">
        <v>74</v>
      </c>
      <c r="T493" t="s">
        <v>74</v>
      </c>
      <c r="U493" t="s">
        <v>6615</v>
      </c>
      <c r="V493" t="s">
        <v>6616</v>
      </c>
      <c r="W493" t="s">
        <v>6617</v>
      </c>
      <c r="X493" t="s">
        <v>6618</v>
      </c>
      <c r="Y493" t="s">
        <v>6619</v>
      </c>
      <c r="Z493" t="s">
        <v>6620</v>
      </c>
      <c r="AA493" t="s">
        <v>74</v>
      </c>
      <c r="AB493" t="s">
        <v>6621</v>
      </c>
      <c r="AC493" t="s">
        <v>74</v>
      </c>
      <c r="AD493" t="s">
        <v>74</v>
      </c>
      <c r="AE493" t="s">
        <v>74</v>
      </c>
      <c r="AF493" t="s">
        <v>74</v>
      </c>
      <c r="AG493">
        <v>83</v>
      </c>
      <c r="AH493">
        <v>144</v>
      </c>
      <c r="AI493">
        <v>165</v>
      </c>
      <c r="AJ493">
        <v>0</v>
      </c>
      <c r="AK493">
        <v>53</v>
      </c>
      <c r="AL493" t="s">
        <v>3104</v>
      </c>
      <c r="AM493" t="s">
        <v>231</v>
      </c>
      <c r="AN493" t="s">
        <v>6622</v>
      </c>
      <c r="AO493" t="s">
        <v>3106</v>
      </c>
      <c r="AP493" t="s">
        <v>74</v>
      </c>
      <c r="AQ493" t="s">
        <v>74</v>
      </c>
      <c r="AR493" t="s">
        <v>3107</v>
      </c>
      <c r="AS493" t="s">
        <v>3108</v>
      </c>
      <c r="AT493" t="s">
        <v>6460</v>
      </c>
      <c r="AU493">
        <v>1999</v>
      </c>
      <c r="AV493">
        <v>65</v>
      </c>
      <c r="AW493">
        <v>6</v>
      </c>
      <c r="AX493" t="s">
        <v>74</v>
      </c>
      <c r="AY493" t="s">
        <v>74</v>
      </c>
      <c r="AZ493" t="s">
        <v>74</v>
      </c>
      <c r="BA493" t="s">
        <v>74</v>
      </c>
      <c r="BB493">
        <v>2577</v>
      </c>
      <c r="BC493">
        <v>2584</v>
      </c>
      <c r="BD493" t="s">
        <v>74</v>
      </c>
      <c r="BE493" t="s">
        <v>74</v>
      </c>
      <c r="BF493" t="s">
        <v>74</v>
      </c>
      <c r="BG493" t="s">
        <v>74</v>
      </c>
      <c r="BH493" t="s">
        <v>74</v>
      </c>
      <c r="BI493">
        <v>8</v>
      </c>
      <c r="BJ493" t="s">
        <v>3109</v>
      </c>
      <c r="BK493" t="s">
        <v>96</v>
      </c>
      <c r="BL493" t="s">
        <v>3109</v>
      </c>
      <c r="BM493" t="s">
        <v>6623</v>
      </c>
      <c r="BN493">
        <v>10347046</v>
      </c>
      <c r="BO493" t="s">
        <v>74</v>
      </c>
      <c r="BP493" t="s">
        <v>74</v>
      </c>
      <c r="BQ493" t="s">
        <v>74</v>
      </c>
      <c r="BR493" t="s">
        <v>99</v>
      </c>
      <c r="BS493" t="s">
        <v>6624</v>
      </c>
      <c r="BT493" t="str">
        <f>HYPERLINK("https%3A%2F%2Fwww.webofscience.com%2Fwos%2Fwoscc%2Ffull-record%2FWOS:000080624300045","View Full Record in Web of Science")</f>
        <v>View Full Record in Web of Science</v>
      </c>
    </row>
    <row r="494" spans="1:72" x14ac:dyDescent="0.15">
      <c r="A494" t="s">
        <v>72</v>
      </c>
      <c r="B494" t="s">
        <v>6625</v>
      </c>
      <c r="C494" t="s">
        <v>74</v>
      </c>
      <c r="D494" t="s">
        <v>74</v>
      </c>
      <c r="E494" t="s">
        <v>74</v>
      </c>
      <c r="F494" t="s">
        <v>6625</v>
      </c>
      <c r="G494" t="s">
        <v>74</v>
      </c>
      <c r="H494" t="s">
        <v>74</v>
      </c>
      <c r="I494" t="s">
        <v>6626</v>
      </c>
      <c r="J494" t="s">
        <v>6627</v>
      </c>
      <c r="K494" t="s">
        <v>74</v>
      </c>
      <c r="L494" t="s">
        <v>74</v>
      </c>
      <c r="M494" t="s">
        <v>77</v>
      </c>
      <c r="N494" t="s">
        <v>78</v>
      </c>
      <c r="O494" t="s">
        <v>74</v>
      </c>
      <c r="P494" t="s">
        <v>74</v>
      </c>
      <c r="Q494" t="s">
        <v>74</v>
      </c>
      <c r="R494" t="s">
        <v>74</v>
      </c>
      <c r="S494" t="s">
        <v>74</v>
      </c>
      <c r="T494" t="s">
        <v>74</v>
      </c>
      <c r="U494" t="s">
        <v>6628</v>
      </c>
      <c r="V494" t="s">
        <v>74</v>
      </c>
      <c r="W494" t="s">
        <v>6629</v>
      </c>
      <c r="X494" t="s">
        <v>943</v>
      </c>
      <c r="Y494" t="s">
        <v>6630</v>
      </c>
      <c r="Z494" t="s">
        <v>74</v>
      </c>
      <c r="AA494" t="s">
        <v>74</v>
      </c>
      <c r="AB494" t="s">
        <v>74</v>
      </c>
      <c r="AC494" t="s">
        <v>74</v>
      </c>
      <c r="AD494" t="s">
        <v>74</v>
      </c>
      <c r="AE494" t="s">
        <v>74</v>
      </c>
      <c r="AF494" t="s">
        <v>74</v>
      </c>
      <c r="AG494">
        <v>25</v>
      </c>
      <c r="AH494">
        <v>9</v>
      </c>
      <c r="AI494">
        <v>9</v>
      </c>
      <c r="AJ494">
        <v>0</v>
      </c>
      <c r="AK494">
        <v>3</v>
      </c>
      <c r="AL494" t="s">
        <v>863</v>
      </c>
      <c r="AM494" t="s">
        <v>276</v>
      </c>
      <c r="AN494" t="s">
        <v>864</v>
      </c>
      <c r="AO494" t="s">
        <v>6631</v>
      </c>
      <c r="AP494" t="s">
        <v>74</v>
      </c>
      <c r="AQ494" t="s">
        <v>74</v>
      </c>
      <c r="AR494" t="s">
        <v>6632</v>
      </c>
      <c r="AS494" t="s">
        <v>6633</v>
      </c>
      <c r="AT494" t="s">
        <v>6460</v>
      </c>
      <c r="AU494">
        <v>1999</v>
      </c>
      <c r="AV494">
        <v>40</v>
      </c>
      <c r="AW494">
        <v>3</v>
      </c>
      <c r="AX494" t="s">
        <v>74</v>
      </c>
      <c r="AY494" t="s">
        <v>74</v>
      </c>
      <c r="AZ494" t="s">
        <v>74</v>
      </c>
      <c r="BA494" t="s">
        <v>74</v>
      </c>
      <c r="BB494">
        <v>26</v>
      </c>
      <c r="BC494">
        <v>28</v>
      </c>
      <c r="BD494" t="s">
        <v>74</v>
      </c>
      <c r="BE494" t="s">
        <v>6634</v>
      </c>
      <c r="BF494" t="str">
        <f>HYPERLINK("http://dx.doi.org/10.1093/astrog/40.3.3.26","http://dx.doi.org/10.1093/astrog/40.3.3.26")</f>
        <v>http://dx.doi.org/10.1093/astrog/40.3.3.26</v>
      </c>
      <c r="BG494" t="s">
        <v>74</v>
      </c>
      <c r="BH494" t="s">
        <v>74</v>
      </c>
      <c r="BI494">
        <v>3</v>
      </c>
      <c r="BJ494" t="s">
        <v>6635</v>
      </c>
      <c r="BK494" t="s">
        <v>96</v>
      </c>
      <c r="BL494" t="s">
        <v>6635</v>
      </c>
      <c r="BM494" t="s">
        <v>6636</v>
      </c>
      <c r="BN494" t="s">
        <v>74</v>
      </c>
      <c r="BO494" t="s">
        <v>250</v>
      </c>
      <c r="BP494" t="s">
        <v>74</v>
      </c>
      <c r="BQ494" t="s">
        <v>74</v>
      </c>
      <c r="BR494" t="s">
        <v>99</v>
      </c>
      <c r="BS494" t="s">
        <v>6637</v>
      </c>
      <c r="BT494" t="str">
        <f>HYPERLINK("https%3A%2F%2Fwww.webofscience.com%2Fwos%2Fwoscc%2Ffull-record%2FWOS:000080581500016","View Full Record in Web of Science")</f>
        <v>View Full Record in Web of Science</v>
      </c>
    </row>
    <row r="495" spans="1:72" x14ac:dyDescent="0.15">
      <c r="A495" t="s">
        <v>72</v>
      </c>
      <c r="B495" t="s">
        <v>6638</v>
      </c>
      <c r="C495" t="s">
        <v>74</v>
      </c>
      <c r="D495" t="s">
        <v>74</v>
      </c>
      <c r="E495" t="s">
        <v>74</v>
      </c>
      <c r="F495" t="s">
        <v>6638</v>
      </c>
      <c r="G495" t="s">
        <v>74</v>
      </c>
      <c r="H495" t="s">
        <v>74</v>
      </c>
      <c r="I495" t="s">
        <v>6639</v>
      </c>
      <c r="J495" t="s">
        <v>6640</v>
      </c>
      <c r="K495" t="s">
        <v>74</v>
      </c>
      <c r="L495" t="s">
        <v>74</v>
      </c>
      <c r="M495" t="s">
        <v>77</v>
      </c>
      <c r="N495" t="s">
        <v>205</v>
      </c>
      <c r="O495" t="s">
        <v>74</v>
      </c>
      <c r="P495" t="s">
        <v>74</v>
      </c>
      <c r="Q495" t="s">
        <v>74</v>
      </c>
      <c r="R495" t="s">
        <v>74</v>
      </c>
      <c r="S495" t="s">
        <v>74</v>
      </c>
      <c r="T495" t="s">
        <v>74</v>
      </c>
      <c r="U495" t="s">
        <v>74</v>
      </c>
      <c r="V495" t="s">
        <v>74</v>
      </c>
      <c r="W495" t="s">
        <v>6641</v>
      </c>
      <c r="X495" t="s">
        <v>4828</v>
      </c>
      <c r="Y495" t="s">
        <v>117</v>
      </c>
      <c r="Z495" t="s">
        <v>74</v>
      </c>
      <c r="AA495" t="s">
        <v>108</v>
      </c>
      <c r="AB495" t="s">
        <v>74</v>
      </c>
      <c r="AC495" t="s">
        <v>74</v>
      </c>
      <c r="AD495" t="s">
        <v>74</v>
      </c>
      <c r="AE495" t="s">
        <v>74</v>
      </c>
      <c r="AF495" t="s">
        <v>74</v>
      </c>
      <c r="AG495">
        <v>0</v>
      </c>
      <c r="AH495">
        <v>0</v>
      </c>
      <c r="AI495">
        <v>0</v>
      </c>
      <c r="AJ495">
        <v>0</v>
      </c>
      <c r="AK495">
        <v>0</v>
      </c>
      <c r="AL495" t="s">
        <v>6642</v>
      </c>
      <c r="AM495" t="s">
        <v>6643</v>
      </c>
      <c r="AN495" t="s">
        <v>6644</v>
      </c>
      <c r="AO495" t="s">
        <v>6645</v>
      </c>
      <c r="AP495" t="s">
        <v>74</v>
      </c>
      <c r="AQ495" t="s">
        <v>74</v>
      </c>
      <c r="AR495" t="s">
        <v>6646</v>
      </c>
      <c r="AS495" t="s">
        <v>6647</v>
      </c>
      <c r="AT495" t="s">
        <v>6460</v>
      </c>
      <c r="AU495">
        <v>1999</v>
      </c>
      <c r="AV495" t="s">
        <v>74</v>
      </c>
      <c r="AW495" t="s">
        <v>74</v>
      </c>
      <c r="AX495" t="s">
        <v>74</v>
      </c>
      <c r="AY495" t="s">
        <v>74</v>
      </c>
      <c r="AZ495" t="s">
        <v>4033</v>
      </c>
      <c r="BA495" t="s">
        <v>74</v>
      </c>
      <c r="BB495">
        <v>1</v>
      </c>
      <c r="BC495">
        <v>1</v>
      </c>
      <c r="BD495" t="s">
        <v>74</v>
      </c>
      <c r="BE495" t="s">
        <v>74</v>
      </c>
      <c r="BF495" t="s">
        <v>74</v>
      </c>
      <c r="BG495" t="s">
        <v>74</v>
      </c>
      <c r="BH495" t="s">
        <v>74</v>
      </c>
      <c r="BI495">
        <v>1</v>
      </c>
      <c r="BJ495" t="s">
        <v>95</v>
      </c>
      <c r="BK495" t="s">
        <v>96</v>
      </c>
      <c r="BL495" t="s">
        <v>95</v>
      </c>
      <c r="BM495" t="s">
        <v>6648</v>
      </c>
      <c r="BN495" t="s">
        <v>74</v>
      </c>
      <c r="BO495" t="s">
        <v>74</v>
      </c>
      <c r="BP495" t="s">
        <v>74</v>
      </c>
      <c r="BQ495" t="s">
        <v>74</v>
      </c>
      <c r="BR495" t="s">
        <v>99</v>
      </c>
      <c r="BS495" t="s">
        <v>6649</v>
      </c>
      <c r="BT495" t="str">
        <f>HYPERLINK("https%3A%2F%2Fwww.webofscience.com%2Fwos%2Fwoscc%2Ffull-record%2FWOS:000081545300001","View Full Record in Web of Science")</f>
        <v>View Full Record in Web of Science</v>
      </c>
    </row>
    <row r="496" spans="1:72" x14ac:dyDescent="0.15">
      <c r="A496" t="s">
        <v>72</v>
      </c>
      <c r="B496" t="s">
        <v>6650</v>
      </c>
      <c r="C496" t="s">
        <v>74</v>
      </c>
      <c r="D496" t="s">
        <v>74</v>
      </c>
      <c r="E496" t="s">
        <v>74</v>
      </c>
      <c r="F496" t="s">
        <v>6650</v>
      </c>
      <c r="G496" t="s">
        <v>74</v>
      </c>
      <c r="H496" t="s">
        <v>74</v>
      </c>
      <c r="I496" t="s">
        <v>6651</v>
      </c>
      <c r="J496" t="s">
        <v>6640</v>
      </c>
      <c r="K496" t="s">
        <v>74</v>
      </c>
      <c r="L496" t="s">
        <v>74</v>
      </c>
      <c r="M496" t="s">
        <v>77</v>
      </c>
      <c r="N496" t="s">
        <v>78</v>
      </c>
      <c r="O496" t="s">
        <v>74</v>
      </c>
      <c r="P496" t="s">
        <v>74</v>
      </c>
      <c r="Q496" t="s">
        <v>74</v>
      </c>
      <c r="R496" t="s">
        <v>74</v>
      </c>
      <c r="S496" t="s">
        <v>74</v>
      </c>
      <c r="T496" t="s">
        <v>74</v>
      </c>
      <c r="U496" t="s">
        <v>74</v>
      </c>
      <c r="V496" t="s">
        <v>6652</v>
      </c>
      <c r="W496" t="s">
        <v>1928</v>
      </c>
      <c r="X496" t="s">
        <v>131</v>
      </c>
      <c r="Y496" t="s">
        <v>6653</v>
      </c>
      <c r="Z496" t="s">
        <v>74</v>
      </c>
      <c r="AA496" t="s">
        <v>74</v>
      </c>
      <c r="AB496" t="s">
        <v>74</v>
      </c>
      <c r="AC496" t="s">
        <v>74</v>
      </c>
      <c r="AD496" t="s">
        <v>74</v>
      </c>
      <c r="AE496" t="s">
        <v>74</v>
      </c>
      <c r="AF496" t="s">
        <v>74</v>
      </c>
      <c r="AG496">
        <v>9</v>
      </c>
      <c r="AH496">
        <v>0</v>
      </c>
      <c r="AI496">
        <v>0</v>
      </c>
      <c r="AJ496">
        <v>0</v>
      </c>
      <c r="AK496">
        <v>0</v>
      </c>
      <c r="AL496" t="s">
        <v>6642</v>
      </c>
      <c r="AM496" t="s">
        <v>6643</v>
      </c>
      <c r="AN496" t="s">
        <v>6644</v>
      </c>
      <c r="AO496" t="s">
        <v>6645</v>
      </c>
      <c r="AP496" t="s">
        <v>74</v>
      </c>
      <c r="AQ496" t="s">
        <v>74</v>
      </c>
      <c r="AR496" t="s">
        <v>6646</v>
      </c>
      <c r="AS496" t="s">
        <v>6647</v>
      </c>
      <c r="AT496" t="s">
        <v>6460</v>
      </c>
      <c r="AU496">
        <v>1999</v>
      </c>
      <c r="AV496" t="s">
        <v>74</v>
      </c>
      <c r="AW496" t="s">
        <v>74</v>
      </c>
      <c r="AX496" t="s">
        <v>74</v>
      </c>
      <c r="AY496" t="s">
        <v>74</v>
      </c>
      <c r="AZ496" t="s">
        <v>4033</v>
      </c>
      <c r="BA496" t="s">
        <v>74</v>
      </c>
      <c r="BB496">
        <v>3</v>
      </c>
      <c r="BC496">
        <v>7</v>
      </c>
      <c r="BD496" t="s">
        <v>74</v>
      </c>
      <c r="BE496" t="s">
        <v>74</v>
      </c>
      <c r="BF496" t="s">
        <v>74</v>
      </c>
      <c r="BG496" t="s">
        <v>74</v>
      </c>
      <c r="BH496" t="s">
        <v>74</v>
      </c>
      <c r="BI496">
        <v>5</v>
      </c>
      <c r="BJ496" t="s">
        <v>95</v>
      </c>
      <c r="BK496" t="s">
        <v>96</v>
      </c>
      <c r="BL496" t="s">
        <v>95</v>
      </c>
      <c r="BM496" t="s">
        <v>6648</v>
      </c>
      <c r="BN496" t="s">
        <v>74</v>
      </c>
      <c r="BO496" t="s">
        <v>74</v>
      </c>
      <c r="BP496" t="s">
        <v>74</v>
      </c>
      <c r="BQ496" t="s">
        <v>74</v>
      </c>
      <c r="BR496" t="s">
        <v>99</v>
      </c>
      <c r="BS496" t="s">
        <v>6654</v>
      </c>
      <c r="BT496" t="str">
        <f>HYPERLINK("https%3A%2F%2Fwww.webofscience.com%2Fwos%2Fwoscc%2Ffull-record%2FWOS:000081545300002","View Full Record in Web of Science")</f>
        <v>View Full Record in Web of Science</v>
      </c>
    </row>
    <row r="497" spans="1:72" x14ac:dyDescent="0.15">
      <c r="A497" t="s">
        <v>72</v>
      </c>
      <c r="B497" t="s">
        <v>6655</v>
      </c>
      <c r="C497" t="s">
        <v>74</v>
      </c>
      <c r="D497" t="s">
        <v>74</v>
      </c>
      <c r="E497" t="s">
        <v>74</v>
      </c>
      <c r="F497" t="s">
        <v>6655</v>
      </c>
      <c r="G497" t="s">
        <v>74</v>
      </c>
      <c r="H497" t="s">
        <v>74</v>
      </c>
      <c r="I497" t="s">
        <v>6656</v>
      </c>
      <c r="J497" t="s">
        <v>6640</v>
      </c>
      <c r="K497" t="s">
        <v>74</v>
      </c>
      <c r="L497" t="s">
        <v>74</v>
      </c>
      <c r="M497" t="s">
        <v>77</v>
      </c>
      <c r="N497" t="s">
        <v>78</v>
      </c>
      <c r="O497" t="s">
        <v>74</v>
      </c>
      <c r="P497" t="s">
        <v>74</v>
      </c>
      <c r="Q497" t="s">
        <v>74</v>
      </c>
      <c r="R497" t="s">
        <v>74</v>
      </c>
      <c r="S497" t="s">
        <v>74</v>
      </c>
      <c r="T497" t="s">
        <v>74</v>
      </c>
      <c r="U497" t="s">
        <v>74</v>
      </c>
      <c r="V497" t="s">
        <v>6657</v>
      </c>
      <c r="W497" t="s">
        <v>1928</v>
      </c>
      <c r="X497" t="s">
        <v>131</v>
      </c>
      <c r="Y497" t="s">
        <v>6658</v>
      </c>
      <c r="Z497" t="s">
        <v>74</v>
      </c>
      <c r="AA497" t="s">
        <v>74</v>
      </c>
      <c r="AB497" t="s">
        <v>74</v>
      </c>
      <c r="AC497" t="s">
        <v>74</v>
      </c>
      <c r="AD497" t="s">
        <v>74</v>
      </c>
      <c r="AE497" t="s">
        <v>74</v>
      </c>
      <c r="AF497" t="s">
        <v>74</v>
      </c>
      <c r="AG497">
        <v>5</v>
      </c>
      <c r="AH497">
        <v>2</v>
      </c>
      <c r="AI497">
        <v>2</v>
      </c>
      <c r="AJ497">
        <v>0</v>
      </c>
      <c r="AK497">
        <v>0</v>
      </c>
      <c r="AL497" t="s">
        <v>6642</v>
      </c>
      <c r="AM497" t="s">
        <v>6643</v>
      </c>
      <c r="AN497" t="s">
        <v>6644</v>
      </c>
      <c r="AO497" t="s">
        <v>6645</v>
      </c>
      <c r="AP497" t="s">
        <v>74</v>
      </c>
      <c r="AQ497" t="s">
        <v>74</v>
      </c>
      <c r="AR497" t="s">
        <v>6646</v>
      </c>
      <c r="AS497" t="s">
        <v>6647</v>
      </c>
      <c r="AT497" t="s">
        <v>6460</v>
      </c>
      <c r="AU497">
        <v>1999</v>
      </c>
      <c r="AV497" t="s">
        <v>74</v>
      </c>
      <c r="AW497" t="s">
        <v>74</v>
      </c>
      <c r="AX497" t="s">
        <v>74</v>
      </c>
      <c r="AY497" t="s">
        <v>74</v>
      </c>
      <c r="AZ497" t="s">
        <v>4033</v>
      </c>
      <c r="BA497" t="s">
        <v>74</v>
      </c>
      <c r="BB497">
        <v>9</v>
      </c>
      <c r="BC497">
        <v>14</v>
      </c>
      <c r="BD497" t="s">
        <v>74</v>
      </c>
      <c r="BE497" t="s">
        <v>74</v>
      </c>
      <c r="BF497" t="s">
        <v>74</v>
      </c>
      <c r="BG497" t="s">
        <v>74</v>
      </c>
      <c r="BH497" t="s">
        <v>74</v>
      </c>
      <c r="BI497">
        <v>6</v>
      </c>
      <c r="BJ497" t="s">
        <v>95</v>
      </c>
      <c r="BK497" t="s">
        <v>96</v>
      </c>
      <c r="BL497" t="s">
        <v>95</v>
      </c>
      <c r="BM497" t="s">
        <v>6648</v>
      </c>
      <c r="BN497" t="s">
        <v>74</v>
      </c>
      <c r="BO497" t="s">
        <v>74</v>
      </c>
      <c r="BP497" t="s">
        <v>74</v>
      </c>
      <c r="BQ497" t="s">
        <v>74</v>
      </c>
      <c r="BR497" t="s">
        <v>99</v>
      </c>
      <c r="BS497" t="s">
        <v>6659</v>
      </c>
      <c r="BT497" t="str">
        <f>HYPERLINK("https%3A%2F%2Fwww.webofscience.com%2Fwos%2Fwoscc%2Ffull-record%2FWOS:000081545300003","View Full Record in Web of Science")</f>
        <v>View Full Record in Web of Science</v>
      </c>
    </row>
    <row r="498" spans="1:72" x14ac:dyDescent="0.15">
      <c r="A498" t="s">
        <v>72</v>
      </c>
      <c r="B498" t="s">
        <v>6660</v>
      </c>
      <c r="C498" t="s">
        <v>74</v>
      </c>
      <c r="D498" t="s">
        <v>74</v>
      </c>
      <c r="E498" t="s">
        <v>74</v>
      </c>
      <c r="F498" t="s">
        <v>6660</v>
      </c>
      <c r="G498" t="s">
        <v>74</v>
      </c>
      <c r="H498" t="s">
        <v>74</v>
      </c>
      <c r="I498" t="s">
        <v>6661</v>
      </c>
      <c r="J498" t="s">
        <v>6640</v>
      </c>
      <c r="K498" t="s">
        <v>74</v>
      </c>
      <c r="L498" t="s">
        <v>74</v>
      </c>
      <c r="M498" t="s">
        <v>77</v>
      </c>
      <c r="N498" t="s">
        <v>78</v>
      </c>
      <c r="O498" t="s">
        <v>74</v>
      </c>
      <c r="P498" t="s">
        <v>74</v>
      </c>
      <c r="Q498" t="s">
        <v>74</v>
      </c>
      <c r="R498" t="s">
        <v>74</v>
      </c>
      <c r="S498" t="s">
        <v>74</v>
      </c>
      <c r="T498" t="s">
        <v>74</v>
      </c>
      <c r="U498" t="s">
        <v>6662</v>
      </c>
      <c r="V498" t="s">
        <v>6663</v>
      </c>
      <c r="W498" t="s">
        <v>6664</v>
      </c>
      <c r="X498" t="s">
        <v>6665</v>
      </c>
      <c r="Y498" t="s">
        <v>6666</v>
      </c>
      <c r="Z498" t="s">
        <v>74</v>
      </c>
      <c r="AA498" t="s">
        <v>74</v>
      </c>
      <c r="AB498" t="s">
        <v>74</v>
      </c>
      <c r="AC498" t="s">
        <v>74</v>
      </c>
      <c r="AD498" t="s">
        <v>74</v>
      </c>
      <c r="AE498" t="s">
        <v>74</v>
      </c>
      <c r="AF498" t="s">
        <v>74</v>
      </c>
      <c r="AG498">
        <v>6</v>
      </c>
      <c r="AH498">
        <v>0</v>
      </c>
      <c r="AI498">
        <v>0</v>
      </c>
      <c r="AJ498">
        <v>0</v>
      </c>
      <c r="AK498">
        <v>0</v>
      </c>
      <c r="AL498" t="s">
        <v>6642</v>
      </c>
      <c r="AM498" t="s">
        <v>6643</v>
      </c>
      <c r="AN498" t="s">
        <v>6644</v>
      </c>
      <c r="AO498" t="s">
        <v>6645</v>
      </c>
      <c r="AP498" t="s">
        <v>74</v>
      </c>
      <c r="AQ498" t="s">
        <v>74</v>
      </c>
      <c r="AR498" t="s">
        <v>6646</v>
      </c>
      <c r="AS498" t="s">
        <v>6647</v>
      </c>
      <c r="AT498" t="s">
        <v>6460</v>
      </c>
      <c r="AU498">
        <v>1999</v>
      </c>
      <c r="AV498" t="s">
        <v>74</v>
      </c>
      <c r="AW498" t="s">
        <v>74</v>
      </c>
      <c r="AX498" t="s">
        <v>74</v>
      </c>
      <c r="AY498" t="s">
        <v>74</v>
      </c>
      <c r="AZ498" t="s">
        <v>4033</v>
      </c>
      <c r="BA498" t="s">
        <v>74</v>
      </c>
      <c r="BB498">
        <v>15</v>
      </c>
      <c r="BC498">
        <v>24</v>
      </c>
      <c r="BD498" t="s">
        <v>74</v>
      </c>
      <c r="BE498" t="s">
        <v>74</v>
      </c>
      <c r="BF498" t="s">
        <v>74</v>
      </c>
      <c r="BG498" t="s">
        <v>74</v>
      </c>
      <c r="BH498" t="s">
        <v>74</v>
      </c>
      <c r="BI498">
        <v>10</v>
      </c>
      <c r="BJ498" t="s">
        <v>95</v>
      </c>
      <c r="BK498" t="s">
        <v>96</v>
      </c>
      <c r="BL498" t="s">
        <v>95</v>
      </c>
      <c r="BM498" t="s">
        <v>6648</v>
      </c>
      <c r="BN498" t="s">
        <v>74</v>
      </c>
      <c r="BO498" t="s">
        <v>74</v>
      </c>
      <c r="BP498" t="s">
        <v>74</v>
      </c>
      <c r="BQ498" t="s">
        <v>74</v>
      </c>
      <c r="BR498" t="s">
        <v>99</v>
      </c>
      <c r="BS498" t="s">
        <v>6667</v>
      </c>
      <c r="BT498" t="str">
        <f>HYPERLINK("https%3A%2F%2Fwww.webofscience.com%2Fwos%2Fwoscc%2Ffull-record%2FWOS:000081545300004","View Full Record in Web of Science")</f>
        <v>View Full Record in Web of Science</v>
      </c>
    </row>
    <row r="499" spans="1:72" x14ac:dyDescent="0.15">
      <c r="A499" t="s">
        <v>72</v>
      </c>
      <c r="B499" t="s">
        <v>6668</v>
      </c>
      <c r="C499" t="s">
        <v>74</v>
      </c>
      <c r="D499" t="s">
        <v>74</v>
      </c>
      <c r="E499" t="s">
        <v>74</v>
      </c>
      <c r="F499" t="s">
        <v>6668</v>
      </c>
      <c r="G499" t="s">
        <v>74</v>
      </c>
      <c r="H499" t="s">
        <v>74</v>
      </c>
      <c r="I499" t="s">
        <v>6669</v>
      </c>
      <c r="J499" t="s">
        <v>6640</v>
      </c>
      <c r="K499" t="s">
        <v>74</v>
      </c>
      <c r="L499" t="s">
        <v>74</v>
      </c>
      <c r="M499" t="s">
        <v>77</v>
      </c>
      <c r="N499" t="s">
        <v>78</v>
      </c>
      <c r="O499" t="s">
        <v>74</v>
      </c>
      <c r="P499" t="s">
        <v>74</v>
      </c>
      <c r="Q499" t="s">
        <v>74</v>
      </c>
      <c r="R499" t="s">
        <v>74</v>
      </c>
      <c r="S499" t="s">
        <v>74</v>
      </c>
      <c r="T499" t="s">
        <v>74</v>
      </c>
      <c r="U499" t="s">
        <v>6670</v>
      </c>
      <c r="V499" t="s">
        <v>6671</v>
      </c>
      <c r="W499" t="s">
        <v>6672</v>
      </c>
      <c r="X499" t="s">
        <v>6673</v>
      </c>
      <c r="Y499" t="s">
        <v>6674</v>
      </c>
      <c r="Z499" t="s">
        <v>74</v>
      </c>
      <c r="AA499" t="s">
        <v>74</v>
      </c>
      <c r="AB499" t="s">
        <v>74</v>
      </c>
      <c r="AC499" t="s">
        <v>74</v>
      </c>
      <c r="AD499" t="s">
        <v>74</v>
      </c>
      <c r="AE499" t="s">
        <v>74</v>
      </c>
      <c r="AF499" t="s">
        <v>74</v>
      </c>
      <c r="AG499">
        <v>17</v>
      </c>
      <c r="AH499">
        <v>1</v>
      </c>
      <c r="AI499">
        <v>1</v>
      </c>
      <c r="AJ499">
        <v>0</v>
      </c>
      <c r="AK499">
        <v>0</v>
      </c>
      <c r="AL499" t="s">
        <v>6642</v>
      </c>
      <c r="AM499" t="s">
        <v>6643</v>
      </c>
      <c r="AN499" t="s">
        <v>6644</v>
      </c>
      <c r="AO499" t="s">
        <v>6645</v>
      </c>
      <c r="AP499" t="s">
        <v>74</v>
      </c>
      <c r="AQ499" t="s">
        <v>74</v>
      </c>
      <c r="AR499" t="s">
        <v>6646</v>
      </c>
      <c r="AS499" t="s">
        <v>6647</v>
      </c>
      <c r="AT499" t="s">
        <v>6460</v>
      </c>
      <c r="AU499">
        <v>1999</v>
      </c>
      <c r="AV499" t="s">
        <v>74</v>
      </c>
      <c r="AW499" t="s">
        <v>74</v>
      </c>
      <c r="AX499" t="s">
        <v>74</v>
      </c>
      <c r="AY499" t="s">
        <v>74</v>
      </c>
      <c r="AZ499" t="s">
        <v>4033</v>
      </c>
      <c r="BA499" t="s">
        <v>74</v>
      </c>
      <c r="BB499">
        <v>25</v>
      </c>
      <c r="BC499">
        <v>34</v>
      </c>
      <c r="BD499" t="s">
        <v>74</v>
      </c>
      <c r="BE499" t="s">
        <v>74</v>
      </c>
      <c r="BF499" t="s">
        <v>74</v>
      </c>
      <c r="BG499" t="s">
        <v>74</v>
      </c>
      <c r="BH499" t="s">
        <v>74</v>
      </c>
      <c r="BI499">
        <v>10</v>
      </c>
      <c r="BJ499" t="s">
        <v>95</v>
      </c>
      <c r="BK499" t="s">
        <v>96</v>
      </c>
      <c r="BL499" t="s">
        <v>95</v>
      </c>
      <c r="BM499" t="s">
        <v>6648</v>
      </c>
      <c r="BN499" t="s">
        <v>74</v>
      </c>
      <c r="BO499" t="s">
        <v>74</v>
      </c>
      <c r="BP499" t="s">
        <v>74</v>
      </c>
      <c r="BQ499" t="s">
        <v>74</v>
      </c>
      <c r="BR499" t="s">
        <v>99</v>
      </c>
      <c r="BS499" t="s">
        <v>6675</v>
      </c>
      <c r="BT499" t="str">
        <f>HYPERLINK("https%3A%2F%2Fwww.webofscience.com%2Fwos%2Fwoscc%2Ffull-record%2FWOS:000081545300005","View Full Record in Web of Science")</f>
        <v>View Full Record in Web of Science</v>
      </c>
    </row>
    <row r="500" spans="1:72" x14ac:dyDescent="0.15">
      <c r="A500" t="s">
        <v>72</v>
      </c>
      <c r="B500" t="s">
        <v>6676</v>
      </c>
      <c r="C500" t="s">
        <v>74</v>
      </c>
      <c r="D500" t="s">
        <v>74</v>
      </c>
      <c r="E500" t="s">
        <v>74</v>
      </c>
      <c r="F500" t="s">
        <v>6676</v>
      </c>
      <c r="G500" t="s">
        <v>74</v>
      </c>
      <c r="H500" t="s">
        <v>74</v>
      </c>
      <c r="I500" t="s">
        <v>6677</v>
      </c>
      <c r="J500" t="s">
        <v>6640</v>
      </c>
      <c r="K500" t="s">
        <v>74</v>
      </c>
      <c r="L500" t="s">
        <v>74</v>
      </c>
      <c r="M500" t="s">
        <v>77</v>
      </c>
      <c r="N500" t="s">
        <v>78</v>
      </c>
      <c r="O500" t="s">
        <v>74</v>
      </c>
      <c r="P500" t="s">
        <v>74</v>
      </c>
      <c r="Q500" t="s">
        <v>74</v>
      </c>
      <c r="R500" t="s">
        <v>74</v>
      </c>
      <c r="S500" t="s">
        <v>74</v>
      </c>
      <c r="T500" t="s">
        <v>74</v>
      </c>
      <c r="U500" t="s">
        <v>6678</v>
      </c>
      <c r="V500" t="s">
        <v>6679</v>
      </c>
      <c r="W500" t="s">
        <v>6680</v>
      </c>
      <c r="X500" t="s">
        <v>6681</v>
      </c>
      <c r="Y500" t="s">
        <v>6682</v>
      </c>
      <c r="Z500" t="s">
        <v>74</v>
      </c>
      <c r="AA500" t="s">
        <v>74</v>
      </c>
      <c r="AB500" t="s">
        <v>6683</v>
      </c>
      <c r="AC500" t="s">
        <v>74</v>
      </c>
      <c r="AD500" t="s">
        <v>74</v>
      </c>
      <c r="AE500" t="s">
        <v>74</v>
      </c>
      <c r="AF500" t="s">
        <v>74</v>
      </c>
      <c r="AG500">
        <v>49</v>
      </c>
      <c r="AH500">
        <v>119</v>
      </c>
      <c r="AI500">
        <v>126</v>
      </c>
      <c r="AJ500">
        <v>0</v>
      </c>
      <c r="AK500">
        <v>17</v>
      </c>
      <c r="AL500" t="s">
        <v>6642</v>
      </c>
      <c r="AM500" t="s">
        <v>6643</v>
      </c>
      <c r="AN500" t="s">
        <v>6644</v>
      </c>
      <c r="AO500" t="s">
        <v>6645</v>
      </c>
      <c r="AP500" t="s">
        <v>74</v>
      </c>
      <c r="AQ500" t="s">
        <v>74</v>
      </c>
      <c r="AR500" t="s">
        <v>6646</v>
      </c>
      <c r="AS500" t="s">
        <v>6647</v>
      </c>
      <c r="AT500" t="s">
        <v>6460</v>
      </c>
      <c r="AU500">
        <v>1999</v>
      </c>
      <c r="AV500" t="s">
        <v>74</v>
      </c>
      <c r="AW500" t="s">
        <v>74</v>
      </c>
      <c r="AX500" t="s">
        <v>74</v>
      </c>
      <c r="AY500" t="s">
        <v>74</v>
      </c>
      <c r="AZ500" t="s">
        <v>4033</v>
      </c>
      <c r="BA500" t="s">
        <v>74</v>
      </c>
      <c r="BB500">
        <v>35</v>
      </c>
      <c r="BC500">
        <v>49</v>
      </c>
      <c r="BD500" t="s">
        <v>74</v>
      </c>
      <c r="BE500" t="s">
        <v>74</v>
      </c>
      <c r="BF500" t="s">
        <v>74</v>
      </c>
      <c r="BG500" t="s">
        <v>74</v>
      </c>
      <c r="BH500" t="s">
        <v>74</v>
      </c>
      <c r="BI500">
        <v>15</v>
      </c>
      <c r="BJ500" t="s">
        <v>95</v>
      </c>
      <c r="BK500" t="s">
        <v>96</v>
      </c>
      <c r="BL500" t="s">
        <v>95</v>
      </c>
      <c r="BM500" t="s">
        <v>6648</v>
      </c>
      <c r="BN500" t="s">
        <v>74</v>
      </c>
      <c r="BO500" t="s">
        <v>74</v>
      </c>
      <c r="BP500" t="s">
        <v>74</v>
      </c>
      <c r="BQ500" t="s">
        <v>74</v>
      </c>
      <c r="BR500" t="s">
        <v>99</v>
      </c>
      <c r="BS500" t="s">
        <v>6684</v>
      </c>
      <c r="BT500" t="str">
        <f>HYPERLINK("https%3A%2F%2Fwww.webofscience.com%2Fwos%2Fwoscc%2Ffull-record%2FWOS:000081545300006","View Full Record in Web of Science")</f>
        <v>View Full Record in Web of Science</v>
      </c>
    </row>
    <row r="501" spans="1:72" x14ac:dyDescent="0.15">
      <c r="A501" t="s">
        <v>72</v>
      </c>
      <c r="B501" t="s">
        <v>6685</v>
      </c>
      <c r="C501" t="s">
        <v>74</v>
      </c>
      <c r="D501" t="s">
        <v>74</v>
      </c>
      <c r="E501" t="s">
        <v>74</v>
      </c>
      <c r="F501" t="s">
        <v>6685</v>
      </c>
      <c r="G501" t="s">
        <v>74</v>
      </c>
      <c r="H501" t="s">
        <v>74</v>
      </c>
      <c r="I501" t="s">
        <v>6686</v>
      </c>
      <c r="J501" t="s">
        <v>6640</v>
      </c>
      <c r="K501" t="s">
        <v>74</v>
      </c>
      <c r="L501" t="s">
        <v>74</v>
      </c>
      <c r="M501" t="s">
        <v>77</v>
      </c>
      <c r="N501" t="s">
        <v>78</v>
      </c>
      <c r="O501" t="s">
        <v>74</v>
      </c>
      <c r="P501" t="s">
        <v>74</v>
      </c>
      <c r="Q501" t="s">
        <v>74</v>
      </c>
      <c r="R501" t="s">
        <v>74</v>
      </c>
      <c r="S501" t="s">
        <v>74</v>
      </c>
      <c r="T501" t="s">
        <v>74</v>
      </c>
      <c r="U501" t="s">
        <v>6687</v>
      </c>
      <c r="V501" t="s">
        <v>6688</v>
      </c>
      <c r="W501" t="s">
        <v>6689</v>
      </c>
      <c r="X501" t="s">
        <v>4143</v>
      </c>
      <c r="Y501" t="s">
        <v>117</v>
      </c>
      <c r="Z501" t="s">
        <v>74</v>
      </c>
      <c r="AA501" t="s">
        <v>108</v>
      </c>
      <c r="AB501" t="s">
        <v>74</v>
      </c>
      <c r="AC501" t="s">
        <v>74</v>
      </c>
      <c r="AD501" t="s">
        <v>74</v>
      </c>
      <c r="AE501" t="s">
        <v>74</v>
      </c>
      <c r="AF501" t="s">
        <v>74</v>
      </c>
      <c r="AG501">
        <v>31</v>
      </c>
      <c r="AH501">
        <v>61</v>
      </c>
      <c r="AI501">
        <v>63</v>
      </c>
      <c r="AJ501">
        <v>0</v>
      </c>
      <c r="AK501">
        <v>9</v>
      </c>
      <c r="AL501" t="s">
        <v>6642</v>
      </c>
      <c r="AM501" t="s">
        <v>6643</v>
      </c>
      <c r="AN501" t="s">
        <v>6644</v>
      </c>
      <c r="AO501" t="s">
        <v>6645</v>
      </c>
      <c r="AP501" t="s">
        <v>74</v>
      </c>
      <c r="AQ501" t="s">
        <v>74</v>
      </c>
      <c r="AR501" t="s">
        <v>6646</v>
      </c>
      <c r="AS501" t="s">
        <v>6647</v>
      </c>
      <c r="AT501" t="s">
        <v>6460</v>
      </c>
      <c r="AU501">
        <v>1999</v>
      </c>
      <c r="AV501" t="s">
        <v>74</v>
      </c>
      <c r="AW501" t="s">
        <v>74</v>
      </c>
      <c r="AX501" t="s">
        <v>74</v>
      </c>
      <c r="AY501" t="s">
        <v>74</v>
      </c>
      <c r="AZ501" t="s">
        <v>4033</v>
      </c>
      <c r="BA501" t="s">
        <v>74</v>
      </c>
      <c r="BB501">
        <v>51</v>
      </c>
      <c r="BC501">
        <v>60</v>
      </c>
      <c r="BD501" t="s">
        <v>74</v>
      </c>
      <c r="BE501" t="s">
        <v>74</v>
      </c>
      <c r="BF501" t="s">
        <v>74</v>
      </c>
      <c r="BG501" t="s">
        <v>74</v>
      </c>
      <c r="BH501" t="s">
        <v>74</v>
      </c>
      <c r="BI501">
        <v>10</v>
      </c>
      <c r="BJ501" t="s">
        <v>95</v>
      </c>
      <c r="BK501" t="s">
        <v>96</v>
      </c>
      <c r="BL501" t="s">
        <v>95</v>
      </c>
      <c r="BM501" t="s">
        <v>6648</v>
      </c>
      <c r="BN501" t="s">
        <v>74</v>
      </c>
      <c r="BO501" t="s">
        <v>74</v>
      </c>
      <c r="BP501" t="s">
        <v>74</v>
      </c>
      <c r="BQ501" t="s">
        <v>74</v>
      </c>
      <c r="BR501" t="s">
        <v>99</v>
      </c>
      <c r="BS501" t="s">
        <v>6690</v>
      </c>
      <c r="BT501" t="str">
        <f>HYPERLINK("https%3A%2F%2Fwww.webofscience.com%2Fwos%2Fwoscc%2Ffull-record%2FWOS:000081545300007","View Full Record in Web of Science")</f>
        <v>View Full Record in Web of Science</v>
      </c>
    </row>
    <row r="502" spans="1:72" x14ac:dyDescent="0.15">
      <c r="A502" t="s">
        <v>72</v>
      </c>
      <c r="B502" t="s">
        <v>6691</v>
      </c>
      <c r="C502" t="s">
        <v>74</v>
      </c>
      <c r="D502" t="s">
        <v>74</v>
      </c>
      <c r="E502" t="s">
        <v>74</v>
      </c>
      <c r="F502" t="s">
        <v>6691</v>
      </c>
      <c r="G502" t="s">
        <v>74</v>
      </c>
      <c r="H502" t="s">
        <v>74</v>
      </c>
      <c r="I502" t="s">
        <v>6692</v>
      </c>
      <c r="J502" t="s">
        <v>6693</v>
      </c>
      <c r="K502" t="s">
        <v>74</v>
      </c>
      <c r="L502" t="s">
        <v>74</v>
      </c>
      <c r="M502" t="s">
        <v>77</v>
      </c>
      <c r="N502" t="s">
        <v>78</v>
      </c>
      <c r="O502" t="s">
        <v>74</v>
      </c>
      <c r="P502" t="s">
        <v>74</v>
      </c>
      <c r="Q502" t="s">
        <v>74</v>
      </c>
      <c r="R502" t="s">
        <v>74</v>
      </c>
      <c r="S502" t="s">
        <v>74</v>
      </c>
      <c r="T502" t="s">
        <v>6694</v>
      </c>
      <c r="U502" t="s">
        <v>6695</v>
      </c>
      <c r="V502" t="s">
        <v>6696</v>
      </c>
      <c r="W502" t="s">
        <v>6697</v>
      </c>
      <c r="X502" t="s">
        <v>6698</v>
      </c>
      <c r="Y502" t="s">
        <v>6699</v>
      </c>
      <c r="Z502" t="s">
        <v>74</v>
      </c>
      <c r="AA502" t="s">
        <v>6700</v>
      </c>
      <c r="AB502" t="s">
        <v>6701</v>
      </c>
      <c r="AC502" t="s">
        <v>74</v>
      </c>
      <c r="AD502" t="s">
        <v>74</v>
      </c>
      <c r="AE502" t="s">
        <v>74</v>
      </c>
      <c r="AF502" t="s">
        <v>74</v>
      </c>
      <c r="AG502">
        <v>42</v>
      </c>
      <c r="AH502">
        <v>12</v>
      </c>
      <c r="AI502">
        <v>12</v>
      </c>
      <c r="AJ502">
        <v>0</v>
      </c>
      <c r="AK502">
        <v>6</v>
      </c>
      <c r="AL502" t="s">
        <v>721</v>
      </c>
      <c r="AM502" t="s">
        <v>722</v>
      </c>
      <c r="AN502" t="s">
        <v>723</v>
      </c>
      <c r="AO502" t="s">
        <v>6702</v>
      </c>
      <c r="AP502" t="s">
        <v>74</v>
      </c>
      <c r="AQ502" t="s">
        <v>74</v>
      </c>
      <c r="AR502" t="s">
        <v>6703</v>
      </c>
      <c r="AS502" t="s">
        <v>6704</v>
      </c>
      <c r="AT502" t="s">
        <v>6460</v>
      </c>
      <c r="AU502">
        <v>1999</v>
      </c>
      <c r="AV502">
        <v>77</v>
      </c>
      <c r="AW502">
        <v>6</v>
      </c>
      <c r="AX502" t="s">
        <v>74</v>
      </c>
      <c r="AY502" t="s">
        <v>74</v>
      </c>
      <c r="AZ502" t="s">
        <v>74</v>
      </c>
      <c r="BA502" t="s">
        <v>74</v>
      </c>
      <c r="BB502">
        <v>869</v>
      </c>
      <c r="BC502">
        <v>876</v>
      </c>
      <c r="BD502" t="s">
        <v>74</v>
      </c>
      <c r="BE502" t="s">
        <v>6705</v>
      </c>
      <c r="BF502" t="str">
        <f>HYPERLINK("http://dx.doi.org/10.1139/b99-047","http://dx.doi.org/10.1139/b99-047")</f>
        <v>http://dx.doi.org/10.1139/b99-047</v>
      </c>
      <c r="BG502" t="s">
        <v>74</v>
      </c>
      <c r="BH502" t="s">
        <v>74</v>
      </c>
      <c r="BI502">
        <v>8</v>
      </c>
      <c r="BJ502" t="s">
        <v>5977</v>
      </c>
      <c r="BK502" t="s">
        <v>96</v>
      </c>
      <c r="BL502" t="s">
        <v>5977</v>
      </c>
      <c r="BM502" t="s">
        <v>6706</v>
      </c>
      <c r="BN502" t="s">
        <v>74</v>
      </c>
      <c r="BO502" t="s">
        <v>74</v>
      </c>
      <c r="BP502" t="s">
        <v>74</v>
      </c>
      <c r="BQ502" t="s">
        <v>74</v>
      </c>
      <c r="BR502" t="s">
        <v>99</v>
      </c>
      <c r="BS502" t="s">
        <v>6707</v>
      </c>
      <c r="BT502" t="str">
        <f>HYPERLINK("https%3A%2F%2Fwww.webofscience.com%2Fwos%2Fwoscc%2Ffull-record%2FWOS:000083454300011","View Full Record in Web of Science")</f>
        <v>View Full Record in Web of Science</v>
      </c>
    </row>
    <row r="503" spans="1:72" x14ac:dyDescent="0.15">
      <c r="A503" t="s">
        <v>72</v>
      </c>
      <c r="B503" t="s">
        <v>6708</v>
      </c>
      <c r="C503" t="s">
        <v>74</v>
      </c>
      <c r="D503" t="s">
        <v>74</v>
      </c>
      <c r="E503" t="s">
        <v>74</v>
      </c>
      <c r="F503" t="s">
        <v>6708</v>
      </c>
      <c r="G503" t="s">
        <v>74</v>
      </c>
      <c r="H503" t="s">
        <v>74</v>
      </c>
      <c r="I503" t="s">
        <v>6709</v>
      </c>
      <c r="J503" t="s">
        <v>6710</v>
      </c>
      <c r="K503" t="s">
        <v>74</v>
      </c>
      <c r="L503" t="s">
        <v>74</v>
      </c>
      <c r="M503" t="s">
        <v>77</v>
      </c>
      <c r="N503" t="s">
        <v>78</v>
      </c>
      <c r="O503" t="s">
        <v>74</v>
      </c>
      <c r="P503" t="s">
        <v>74</v>
      </c>
      <c r="Q503" t="s">
        <v>74</v>
      </c>
      <c r="R503" t="s">
        <v>74</v>
      </c>
      <c r="S503" t="s">
        <v>74</v>
      </c>
      <c r="T503" t="s">
        <v>6711</v>
      </c>
      <c r="U503" t="s">
        <v>6712</v>
      </c>
      <c r="V503" t="s">
        <v>6713</v>
      </c>
      <c r="W503" t="s">
        <v>6714</v>
      </c>
      <c r="X503" t="s">
        <v>4491</v>
      </c>
      <c r="Y503" t="s">
        <v>6715</v>
      </c>
      <c r="Z503" t="s">
        <v>74</v>
      </c>
      <c r="AA503" t="s">
        <v>74</v>
      </c>
      <c r="AB503" t="s">
        <v>74</v>
      </c>
      <c r="AC503" t="s">
        <v>74</v>
      </c>
      <c r="AD503" t="s">
        <v>74</v>
      </c>
      <c r="AE503" t="s">
        <v>74</v>
      </c>
      <c r="AF503" t="s">
        <v>74</v>
      </c>
      <c r="AG503">
        <v>31</v>
      </c>
      <c r="AH503">
        <v>34</v>
      </c>
      <c r="AI503">
        <v>37</v>
      </c>
      <c r="AJ503">
        <v>1</v>
      </c>
      <c r="AK503">
        <v>7</v>
      </c>
      <c r="AL503" t="s">
        <v>5295</v>
      </c>
      <c r="AM503" t="s">
        <v>722</v>
      </c>
      <c r="AN503" t="s">
        <v>5296</v>
      </c>
      <c r="AO503" t="s">
        <v>6716</v>
      </c>
      <c r="AP503" t="s">
        <v>6717</v>
      </c>
      <c r="AQ503" t="s">
        <v>74</v>
      </c>
      <c r="AR503" t="s">
        <v>6718</v>
      </c>
      <c r="AS503" t="s">
        <v>6719</v>
      </c>
      <c r="AT503" t="s">
        <v>6460</v>
      </c>
      <c r="AU503">
        <v>1999</v>
      </c>
      <c r="AV503">
        <v>45</v>
      </c>
      <c r="AW503">
        <v>6</v>
      </c>
      <c r="AX503" t="s">
        <v>74</v>
      </c>
      <c r="AY503" t="s">
        <v>74</v>
      </c>
      <c r="AZ503" t="s">
        <v>74</v>
      </c>
      <c r="BA503" t="s">
        <v>74</v>
      </c>
      <c r="BB503">
        <v>452</v>
      </c>
      <c r="BC503">
        <v>457</v>
      </c>
      <c r="BD503" t="s">
        <v>74</v>
      </c>
      <c r="BE503" t="s">
        <v>6720</v>
      </c>
      <c r="BF503" t="str">
        <f>HYPERLINK("http://dx.doi.org/10.1139/cjm-45-6-452","http://dx.doi.org/10.1139/cjm-45-6-452")</f>
        <v>http://dx.doi.org/10.1139/cjm-45-6-452</v>
      </c>
      <c r="BG503" t="s">
        <v>74</v>
      </c>
      <c r="BH503" t="s">
        <v>74</v>
      </c>
      <c r="BI503">
        <v>6</v>
      </c>
      <c r="BJ503" t="s">
        <v>6721</v>
      </c>
      <c r="BK503" t="s">
        <v>96</v>
      </c>
      <c r="BL503" t="s">
        <v>6721</v>
      </c>
      <c r="BM503" t="s">
        <v>6722</v>
      </c>
      <c r="BN503">
        <v>10453473</v>
      </c>
      <c r="BO503" t="s">
        <v>74</v>
      </c>
      <c r="BP503" t="s">
        <v>74</v>
      </c>
      <c r="BQ503" t="s">
        <v>74</v>
      </c>
      <c r="BR503" t="s">
        <v>99</v>
      </c>
      <c r="BS503" t="s">
        <v>6723</v>
      </c>
      <c r="BT503" t="str">
        <f>HYPERLINK("https%3A%2F%2Fwww.webofscience.com%2Fwos%2Fwoscc%2Ffull-record%2FWOS:000081788800003","View Full Record in Web of Science")</f>
        <v>View Full Record in Web of Science</v>
      </c>
    </row>
    <row r="504" spans="1:72" x14ac:dyDescent="0.15">
      <c r="A504" t="s">
        <v>72</v>
      </c>
      <c r="B504" t="s">
        <v>6724</v>
      </c>
      <c r="C504" t="s">
        <v>74</v>
      </c>
      <c r="D504" t="s">
        <v>74</v>
      </c>
      <c r="E504" t="s">
        <v>74</v>
      </c>
      <c r="F504" t="s">
        <v>6724</v>
      </c>
      <c r="G504" t="s">
        <v>74</v>
      </c>
      <c r="H504" t="s">
        <v>74</v>
      </c>
      <c r="I504" t="s">
        <v>6725</v>
      </c>
      <c r="J504" t="s">
        <v>6726</v>
      </c>
      <c r="K504" t="s">
        <v>74</v>
      </c>
      <c r="L504" t="s">
        <v>74</v>
      </c>
      <c r="M504" t="s">
        <v>77</v>
      </c>
      <c r="N504" t="s">
        <v>78</v>
      </c>
      <c r="O504" t="s">
        <v>74</v>
      </c>
      <c r="P504" t="s">
        <v>74</v>
      </c>
      <c r="Q504" t="s">
        <v>74</v>
      </c>
      <c r="R504" t="s">
        <v>74</v>
      </c>
      <c r="S504" t="s">
        <v>74</v>
      </c>
      <c r="T504" t="s">
        <v>74</v>
      </c>
      <c r="U504" t="s">
        <v>6727</v>
      </c>
      <c r="V504" t="s">
        <v>6728</v>
      </c>
      <c r="W504" t="s">
        <v>6729</v>
      </c>
      <c r="X504" t="s">
        <v>4828</v>
      </c>
      <c r="Y504" t="s">
        <v>6730</v>
      </c>
      <c r="Z504" t="s">
        <v>74</v>
      </c>
      <c r="AA504" t="s">
        <v>74</v>
      </c>
      <c r="AB504" t="s">
        <v>74</v>
      </c>
      <c r="AC504" t="s">
        <v>74</v>
      </c>
      <c r="AD504" t="s">
        <v>74</v>
      </c>
      <c r="AE504" t="s">
        <v>74</v>
      </c>
      <c r="AF504" t="s">
        <v>74</v>
      </c>
      <c r="AG504">
        <v>33</v>
      </c>
      <c r="AH504">
        <v>4</v>
      </c>
      <c r="AI504">
        <v>4</v>
      </c>
      <c r="AJ504">
        <v>1</v>
      </c>
      <c r="AK504">
        <v>2</v>
      </c>
      <c r="AL504" t="s">
        <v>705</v>
      </c>
      <c r="AM504" t="s">
        <v>554</v>
      </c>
      <c r="AN504" t="s">
        <v>1242</v>
      </c>
      <c r="AO504" t="s">
        <v>6731</v>
      </c>
      <c r="AP504" t="s">
        <v>6732</v>
      </c>
      <c r="AQ504" t="s">
        <v>74</v>
      </c>
      <c r="AR504" t="s">
        <v>6733</v>
      </c>
      <c r="AS504" t="s">
        <v>6734</v>
      </c>
      <c r="AT504" t="s">
        <v>6460</v>
      </c>
      <c r="AU504">
        <v>1999</v>
      </c>
      <c r="AV504">
        <v>14</v>
      </c>
      <c r="AW504">
        <v>1</v>
      </c>
      <c r="AX504" t="s">
        <v>74</v>
      </c>
      <c r="AY504" t="s">
        <v>74</v>
      </c>
      <c r="AZ504" t="s">
        <v>74</v>
      </c>
      <c r="BA504" t="s">
        <v>74</v>
      </c>
      <c r="BB504">
        <v>56</v>
      </c>
      <c r="BC504">
        <v>63</v>
      </c>
      <c r="BD504" t="s">
        <v>74</v>
      </c>
      <c r="BE504" t="s">
        <v>6735</v>
      </c>
      <c r="BF504" t="str">
        <f>HYPERLINK("http://dx.doi.org/10.1007/BF03176148","http://dx.doi.org/10.1007/BF03176148")</f>
        <v>http://dx.doi.org/10.1007/BF03176148</v>
      </c>
      <c r="BG504" t="s">
        <v>74</v>
      </c>
      <c r="BH504" t="s">
        <v>74</v>
      </c>
      <c r="BI504">
        <v>8</v>
      </c>
      <c r="BJ504" t="s">
        <v>388</v>
      </c>
      <c r="BK504" t="s">
        <v>96</v>
      </c>
      <c r="BL504" t="s">
        <v>388</v>
      </c>
      <c r="BM504" t="s">
        <v>6736</v>
      </c>
      <c r="BN504" t="s">
        <v>74</v>
      </c>
      <c r="BO504" t="s">
        <v>74</v>
      </c>
      <c r="BP504" t="s">
        <v>74</v>
      </c>
      <c r="BQ504" t="s">
        <v>74</v>
      </c>
      <c r="BR504" t="s">
        <v>99</v>
      </c>
      <c r="BS504" t="s">
        <v>6737</v>
      </c>
      <c r="BT504" t="str">
        <f>HYPERLINK("https%3A%2F%2Fwww.webofscience.com%2Fwos%2Fwoscc%2Ffull-record%2FWOS:000080691700005","View Full Record in Web of Science")</f>
        <v>View Full Record in Web of Science</v>
      </c>
    </row>
    <row r="505" spans="1:72" x14ac:dyDescent="0.15">
      <c r="A505" t="s">
        <v>72</v>
      </c>
      <c r="B505" t="s">
        <v>6738</v>
      </c>
      <c r="C505" t="s">
        <v>74</v>
      </c>
      <c r="D505" t="s">
        <v>74</v>
      </c>
      <c r="E505" t="s">
        <v>74</v>
      </c>
      <c r="F505" t="s">
        <v>6738</v>
      </c>
      <c r="G505" t="s">
        <v>74</v>
      </c>
      <c r="H505" t="s">
        <v>74</v>
      </c>
      <c r="I505" t="s">
        <v>6739</v>
      </c>
      <c r="J505" t="s">
        <v>6740</v>
      </c>
      <c r="K505" t="s">
        <v>74</v>
      </c>
      <c r="L505" t="s">
        <v>74</v>
      </c>
      <c r="M505" t="s">
        <v>77</v>
      </c>
      <c r="N505" t="s">
        <v>78</v>
      </c>
      <c r="O505" t="s">
        <v>74</v>
      </c>
      <c r="P505" t="s">
        <v>74</v>
      </c>
      <c r="Q505" t="s">
        <v>74</v>
      </c>
      <c r="R505" t="s">
        <v>74</v>
      </c>
      <c r="S505" t="s">
        <v>74</v>
      </c>
      <c r="T505" t="s">
        <v>6741</v>
      </c>
      <c r="U505" t="s">
        <v>6742</v>
      </c>
      <c r="V505" t="s">
        <v>6743</v>
      </c>
      <c r="W505" t="s">
        <v>6744</v>
      </c>
      <c r="X505" t="s">
        <v>6745</v>
      </c>
      <c r="Y505" t="s">
        <v>6746</v>
      </c>
      <c r="Z505" t="s">
        <v>74</v>
      </c>
      <c r="AA505" t="s">
        <v>6747</v>
      </c>
      <c r="AB505" t="s">
        <v>6748</v>
      </c>
      <c r="AC505" t="s">
        <v>74</v>
      </c>
      <c r="AD505" t="s">
        <v>74</v>
      </c>
      <c r="AE505" t="s">
        <v>74</v>
      </c>
      <c r="AF505" t="s">
        <v>74</v>
      </c>
      <c r="AG505">
        <v>90</v>
      </c>
      <c r="AH505">
        <v>53</v>
      </c>
      <c r="AI505">
        <v>55</v>
      </c>
      <c r="AJ505">
        <v>0</v>
      </c>
      <c r="AK505">
        <v>2</v>
      </c>
      <c r="AL505" t="s">
        <v>2171</v>
      </c>
      <c r="AM505" t="s">
        <v>531</v>
      </c>
      <c r="AN505" t="s">
        <v>532</v>
      </c>
      <c r="AO505" t="s">
        <v>6749</v>
      </c>
      <c r="AP505" t="s">
        <v>74</v>
      </c>
      <c r="AQ505" t="s">
        <v>74</v>
      </c>
      <c r="AR505" t="s">
        <v>6750</v>
      </c>
      <c r="AS505" t="s">
        <v>6751</v>
      </c>
      <c r="AT505" t="s">
        <v>6460</v>
      </c>
      <c r="AU505">
        <v>1999</v>
      </c>
      <c r="AV505">
        <v>20</v>
      </c>
      <c r="AW505">
        <v>3</v>
      </c>
      <c r="AX505" t="s">
        <v>74</v>
      </c>
      <c r="AY505" t="s">
        <v>74</v>
      </c>
      <c r="AZ505" t="s">
        <v>74</v>
      </c>
      <c r="BA505" t="s">
        <v>74</v>
      </c>
      <c r="BB505">
        <v>271</v>
      </c>
      <c r="BC505">
        <v>314</v>
      </c>
      <c r="BD505" t="s">
        <v>74</v>
      </c>
      <c r="BE505" t="s">
        <v>6752</v>
      </c>
      <c r="BF505" t="str">
        <f>HYPERLINK("http://dx.doi.org/10.1006/cres.1999.0153","http://dx.doi.org/10.1006/cres.1999.0153")</f>
        <v>http://dx.doi.org/10.1006/cres.1999.0153</v>
      </c>
      <c r="BG505" t="s">
        <v>74</v>
      </c>
      <c r="BH505" t="s">
        <v>74</v>
      </c>
      <c r="BI505">
        <v>44</v>
      </c>
      <c r="BJ505" t="s">
        <v>6753</v>
      </c>
      <c r="BK505" t="s">
        <v>96</v>
      </c>
      <c r="BL505" t="s">
        <v>6753</v>
      </c>
      <c r="BM505" t="s">
        <v>6754</v>
      </c>
      <c r="BN505" t="s">
        <v>74</v>
      </c>
      <c r="BO505" t="s">
        <v>74</v>
      </c>
      <c r="BP505" t="s">
        <v>74</v>
      </c>
      <c r="BQ505" t="s">
        <v>74</v>
      </c>
      <c r="BR505" t="s">
        <v>99</v>
      </c>
      <c r="BS505" t="s">
        <v>6755</v>
      </c>
      <c r="BT505" t="str">
        <f>HYPERLINK("https%3A%2F%2Fwww.webofscience.com%2Fwos%2Fwoscc%2Ffull-record%2FWOS:000081283000002","View Full Record in Web of Science")</f>
        <v>View Full Record in Web of Science</v>
      </c>
    </row>
    <row r="506" spans="1:72" x14ac:dyDescent="0.15">
      <c r="A506" t="s">
        <v>72</v>
      </c>
      <c r="B506" t="s">
        <v>6756</v>
      </c>
      <c r="C506" t="s">
        <v>74</v>
      </c>
      <c r="D506" t="s">
        <v>74</v>
      </c>
      <c r="E506" t="s">
        <v>74</v>
      </c>
      <c r="F506" t="s">
        <v>6756</v>
      </c>
      <c r="G506" t="s">
        <v>74</v>
      </c>
      <c r="H506" t="s">
        <v>74</v>
      </c>
      <c r="I506" t="s">
        <v>6757</v>
      </c>
      <c r="J506" t="s">
        <v>6758</v>
      </c>
      <c r="K506" t="s">
        <v>74</v>
      </c>
      <c r="L506" t="s">
        <v>74</v>
      </c>
      <c r="M506" t="s">
        <v>77</v>
      </c>
      <c r="N506" t="s">
        <v>254</v>
      </c>
      <c r="O506" t="s">
        <v>74</v>
      </c>
      <c r="P506" t="s">
        <v>74</v>
      </c>
      <c r="Q506" t="s">
        <v>74</v>
      </c>
      <c r="R506" t="s">
        <v>74</v>
      </c>
      <c r="S506" t="s">
        <v>74</v>
      </c>
      <c r="T506" t="s">
        <v>74</v>
      </c>
      <c r="U506" t="s">
        <v>6759</v>
      </c>
      <c r="V506" t="s">
        <v>6760</v>
      </c>
      <c r="W506" t="s">
        <v>6761</v>
      </c>
      <c r="X506" t="s">
        <v>4944</v>
      </c>
      <c r="Y506" t="s">
        <v>6762</v>
      </c>
      <c r="Z506" t="s">
        <v>6763</v>
      </c>
      <c r="AA506" t="s">
        <v>6764</v>
      </c>
      <c r="AB506" t="s">
        <v>6765</v>
      </c>
      <c r="AC506" t="s">
        <v>74</v>
      </c>
      <c r="AD506" t="s">
        <v>74</v>
      </c>
      <c r="AE506" t="s">
        <v>74</v>
      </c>
      <c r="AF506" t="s">
        <v>74</v>
      </c>
      <c r="AG506">
        <v>67</v>
      </c>
      <c r="AH506">
        <v>100</v>
      </c>
      <c r="AI506">
        <v>120</v>
      </c>
      <c r="AJ506">
        <v>1</v>
      </c>
      <c r="AK506">
        <v>35</v>
      </c>
      <c r="AL506" t="s">
        <v>1427</v>
      </c>
      <c r="AM506" t="s">
        <v>276</v>
      </c>
      <c r="AN506" t="s">
        <v>1428</v>
      </c>
      <c r="AO506" t="s">
        <v>6766</v>
      </c>
      <c r="AP506" t="s">
        <v>6767</v>
      </c>
      <c r="AQ506" t="s">
        <v>74</v>
      </c>
      <c r="AR506" t="s">
        <v>6768</v>
      </c>
      <c r="AS506" t="s">
        <v>6769</v>
      </c>
      <c r="AT506" t="s">
        <v>6460</v>
      </c>
      <c r="AU506">
        <v>1999</v>
      </c>
      <c r="AV506">
        <v>10</v>
      </c>
      <c r="AW506">
        <v>3</v>
      </c>
      <c r="AX506" t="s">
        <v>74</v>
      </c>
      <c r="AY506" t="s">
        <v>74</v>
      </c>
      <c r="AZ506" t="s">
        <v>74</v>
      </c>
      <c r="BA506" t="s">
        <v>74</v>
      </c>
      <c r="BB506">
        <v>240</v>
      </c>
      <c r="BC506">
        <v>246</v>
      </c>
      <c r="BD506" t="s">
        <v>74</v>
      </c>
      <c r="BE506" t="s">
        <v>6770</v>
      </c>
      <c r="BF506" t="str">
        <f>HYPERLINK("http://dx.doi.org/10.1016/S0958-1669(99)80042-1","http://dx.doi.org/10.1016/S0958-1669(99)80042-1")</f>
        <v>http://dx.doi.org/10.1016/S0958-1669(99)80042-1</v>
      </c>
      <c r="BG506" t="s">
        <v>74</v>
      </c>
      <c r="BH506" t="s">
        <v>74</v>
      </c>
      <c r="BI506">
        <v>7</v>
      </c>
      <c r="BJ506" t="s">
        <v>6771</v>
      </c>
      <c r="BK506" t="s">
        <v>96</v>
      </c>
      <c r="BL506" t="s">
        <v>6772</v>
      </c>
      <c r="BM506" t="s">
        <v>6773</v>
      </c>
      <c r="BN506">
        <v>10361072</v>
      </c>
      <c r="BO506" t="s">
        <v>74</v>
      </c>
      <c r="BP506" t="s">
        <v>74</v>
      </c>
      <c r="BQ506" t="s">
        <v>74</v>
      </c>
      <c r="BR506" t="s">
        <v>99</v>
      </c>
      <c r="BS506" t="s">
        <v>6774</v>
      </c>
      <c r="BT506" t="str">
        <f>HYPERLINK("https%3A%2F%2Fwww.webofscience.com%2Fwos%2Fwoscc%2Ffull-record%2FWOS:000080541500006","View Full Record in Web of Science")</f>
        <v>View Full Record in Web of Science</v>
      </c>
    </row>
    <row r="507" spans="1:72" x14ac:dyDescent="0.15">
      <c r="A507" t="s">
        <v>72</v>
      </c>
      <c r="B507" t="s">
        <v>6775</v>
      </c>
      <c r="C507" t="s">
        <v>74</v>
      </c>
      <c r="D507" t="s">
        <v>74</v>
      </c>
      <c r="E507" t="s">
        <v>74</v>
      </c>
      <c r="F507" t="s">
        <v>6775</v>
      </c>
      <c r="G507" t="s">
        <v>74</v>
      </c>
      <c r="H507" t="s">
        <v>74</v>
      </c>
      <c r="I507" t="s">
        <v>6776</v>
      </c>
      <c r="J507" t="s">
        <v>827</v>
      </c>
      <c r="K507" t="s">
        <v>74</v>
      </c>
      <c r="L507" t="s">
        <v>74</v>
      </c>
      <c r="M507" t="s">
        <v>77</v>
      </c>
      <c r="N507" t="s">
        <v>78</v>
      </c>
      <c r="O507" t="s">
        <v>74</v>
      </c>
      <c r="P507" t="s">
        <v>74</v>
      </c>
      <c r="Q507" t="s">
        <v>74</v>
      </c>
      <c r="R507" t="s">
        <v>74</v>
      </c>
      <c r="S507" t="s">
        <v>74</v>
      </c>
      <c r="T507" t="s">
        <v>74</v>
      </c>
      <c r="U507" t="s">
        <v>6777</v>
      </c>
      <c r="V507" t="s">
        <v>6778</v>
      </c>
      <c r="W507" t="s">
        <v>6779</v>
      </c>
      <c r="X507" t="s">
        <v>6780</v>
      </c>
      <c r="Y507" t="s">
        <v>6781</v>
      </c>
      <c r="Z507" t="s">
        <v>74</v>
      </c>
      <c r="AA507" t="s">
        <v>74</v>
      </c>
      <c r="AB507" t="s">
        <v>6782</v>
      </c>
      <c r="AC507" t="s">
        <v>74</v>
      </c>
      <c r="AD507" t="s">
        <v>74</v>
      </c>
      <c r="AE507" t="s">
        <v>74</v>
      </c>
      <c r="AF507" t="s">
        <v>74</v>
      </c>
      <c r="AG507">
        <v>45</v>
      </c>
      <c r="AH507">
        <v>169</v>
      </c>
      <c r="AI507">
        <v>195</v>
      </c>
      <c r="AJ507">
        <v>0</v>
      </c>
      <c r="AK507">
        <v>19</v>
      </c>
      <c r="AL507" t="s">
        <v>275</v>
      </c>
      <c r="AM507" t="s">
        <v>276</v>
      </c>
      <c r="AN507" t="s">
        <v>277</v>
      </c>
      <c r="AO507" t="s">
        <v>836</v>
      </c>
      <c r="AP507" t="s">
        <v>74</v>
      </c>
      <c r="AQ507" t="s">
        <v>74</v>
      </c>
      <c r="AR507" t="s">
        <v>837</v>
      </c>
      <c r="AS507" t="s">
        <v>838</v>
      </c>
      <c r="AT507" t="s">
        <v>6460</v>
      </c>
      <c r="AU507">
        <v>1999</v>
      </c>
      <c r="AV507">
        <v>46</v>
      </c>
      <c r="AW507">
        <v>6</v>
      </c>
      <c r="AX507" t="s">
        <v>74</v>
      </c>
      <c r="AY507" t="s">
        <v>74</v>
      </c>
      <c r="AZ507" t="s">
        <v>74</v>
      </c>
      <c r="BA507" t="s">
        <v>74</v>
      </c>
      <c r="BB507">
        <v>925</v>
      </c>
      <c r="BC507">
        <v>949</v>
      </c>
      <c r="BD507" t="s">
        <v>74</v>
      </c>
      <c r="BE507" t="s">
        <v>6783</v>
      </c>
      <c r="BF507" t="str">
        <f>HYPERLINK("http://dx.doi.org/10.1016/S0967-0637(98)00103-4","http://dx.doi.org/10.1016/S0967-0637(98)00103-4")</f>
        <v>http://dx.doi.org/10.1016/S0967-0637(98)00103-4</v>
      </c>
      <c r="BG507" t="s">
        <v>74</v>
      </c>
      <c r="BH507" t="s">
        <v>74</v>
      </c>
      <c r="BI507">
        <v>25</v>
      </c>
      <c r="BJ507" t="s">
        <v>416</v>
      </c>
      <c r="BK507" t="s">
        <v>96</v>
      </c>
      <c r="BL507" t="s">
        <v>416</v>
      </c>
      <c r="BM507" t="s">
        <v>6784</v>
      </c>
      <c r="BN507" t="s">
        <v>74</v>
      </c>
      <c r="BO507" t="s">
        <v>74</v>
      </c>
      <c r="BP507" t="s">
        <v>74</v>
      </c>
      <c r="BQ507" t="s">
        <v>74</v>
      </c>
      <c r="BR507" t="s">
        <v>99</v>
      </c>
      <c r="BS507" t="s">
        <v>6785</v>
      </c>
      <c r="BT507" t="str">
        <f>HYPERLINK("https%3A%2F%2Fwww.webofscience.com%2Fwos%2Fwoscc%2Ffull-record%2FWOS:000080446600001","View Full Record in Web of Science")</f>
        <v>View Full Record in Web of Science</v>
      </c>
    </row>
    <row r="508" spans="1:72" x14ac:dyDescent="0.15">
      <c r="A508" t="s">
        <v>72</v>
      </c>
      <c r="B508" t="s">
        <v>6786</v>
      </c>
      <c r="C508" t="s">
        <v>74</v>
      </c>
      <c r="D508" t="s">
        <v>74</v>
      </c>
      <c r="E508" t="s">
        <v>74</v>
      </c>
      <c r="F508" t="s">
        <v>6786</v>
      </c>
      <c r="G508" t="s">
        <v>74</v>
      </c>
      <c r="H508" t="s">
        <v>74</v>
      </c>
      <c r="I508" t="s">
        <v>6787</v>
      </c>
      <c r="J508" t="s">
        <v>827</v>
      </c>
      <c r="K508" t="s">
        <v>74</v>
      </c>
      <c r="L508" t="s">
        <v>74</v>
      </c>
      <c r="M508" t="s">
        <v>77</v>
      </c>
      <c r="N508" t="s">
        <v>78</v>
      </c>
      <c r="O508" t="s">
        <v>74</v>
      </c>
      <c r="P508" t="s">
        <v>74</v>
      </c>
      <c r="Q508" t="s">
        <v>74</v>
      </c>
      <c r="R508" t="s">
        <v>74</v>
      </c>
      <c r="S508" t="s">
        <v>74</v>
      </c>
      <c r="T508" t="s">
        <v>74</v>
      </c>
      <c r="U508" t="s">
        <v>6788</v>
      </c>
      <c r="V508" t="s">
        <v>6789</v>
      </c>
      <c r="W508" t="s">
        <v>6790</v>
      </c>
      <c r="X508" t="s">
        <v>6791</v>
      </c>
      <c r="Y508" t="s">
        <v>6792</v>
      </c>
      <c r="Z508" t="s">
        <v>74</v>
      </c>
      <c r="AA508" t="s">
        <v>74</v>
      </c>
      <c r="AB508" t="s">
        <v>74</v>
      </c>
      <c r="AC508" t="s">
        <v>74</v>
      </c>
      <c r="AD508" t="s">
        <v>74</v>
      </c>
      <c r="AE508" t="s">
        <v>74</v>
      </c>
      <c r="AF508" t="s">
        <v>74</v>
      </c>
      <c r="AG508">
        <v>73</v>
      </c>
      <c r="AH508">
        <v>160</v>
      </c>
      <c r="AI508">
        <v>195</v>
      </c>
      <c r="AJ508">
        <v>6</v>
      </c>
      <c r="AK508">
        <v>37</v>
      </c>
      <c r="AL508" t="s">
        <v>275</v>
      </c>
      <c r="AM508" t="s">
        <v>276</v>
      </c>
      <c r="AN508" t="s">
        <v>277</v>
      </c>
      <c r="AO508" t="s">
        <v>836</v>
      </c>
      <c r="AP508" t="s">
        <v>74</v>
      </c>
      <c r="AQ508" t="s">
        <v>74</v>
      </c>
      <c r="AR508" t="s">
        <v>837</v>
      </c>
      <c r="AS508" t="s">
        <v>838</v>
      </c>
      <c r="AT508" t="s">
        <v>6460</v>
      </c>
      <c r="AU508">
        <v>1999</v>
      </c>
      <c r="AV508">
        <v>46</v>
      </c>
      <c r="AW508">
        <v>6</v>
      </c>
      <c r="AX508" t="s">
        <v>74</v>
      </c>
      <c r="AY508" t="s">
        <v>74</v>
      </c>
      <c r="AZ508" t="s">
        <v>74</v>
      </c>
      <c r="BA508" t="s">
        <v>74</v>
      </c>
      <c r="BB508">
        <v>951</v>
      </c>
      <c r="BC508">
        <v>984</v>
      </c>
      <c r="BD508" t="s">
        <v>74</v>
      </c>
      <c r="BE508" t="s">
        <v>6793</v>
      </c>
      <c r="BF508" t="str">
        <f>HYPERLINK("http://dx.doi.org/10.1016/S0967-0637(98)00099-5","http://dx.doi.org/10.1016/S0967-0637(98)00099-5")</f>
        <v>http://dx.doi.org/10.1016/S0967-0637(98)00099-5</v>
      </c>
      <c r="BG508" t="s">
        <v>74</v>
      </c>
      <c r="BH508" t="s">
        <v>74</v>
      </c>
      <c r="BI508">
        <v>34</v>
      </c>
      <c r="BJ508" t="s">
        <v>416</v>
      </c>
      <c r="BK508" t="s">
        <v>96</v>
      </c>
      <c r="BL508" t="s">
        <v>416</v>
      </c>
      <c r="BM508" t="s">
        <v>6784</v>
      </c>
      <c r="BN508" t="s">
        <v>74</v>
      </c>
      <c r="BO508" t="s">
        <v>74</v>
      </c>
      <c r="BP508" t="s">
        <v>74</v>
      </c>
      <c r="BQ508" t="s">
        <v>74</v>
      </c>
      <c r="BR508" t="s">
        <v>99</v>
      </c>
      <c r="BS508" t="s">
        <v>6794</v>
      </c>
      <c r="BT508" t="str">
        <f>HYPERLINK("https%3A%2F%2Fwww.webofscience.com%2Fwos%2Fwoscc%2Ffull-record%2FWOS:000080446600002","View Full Record in Web of Science")</f>
        <v>View Full Record in Web of Science</v>
      </c>
    </row>
    <row r="509" spans="1:72" x14ac:dyDescent="0.15">
      <c r="A509" t="s">
        <v>72</v>
      </c>
      <c r="B509" t="s">
        <v>6795</v>
      </c>
      <c r="C509" t="s">
        <v>74</v>
      </c>
      <c r="D509" t="s">
        <v>74</v>
      </c>
      <c r="E509" t="s">
        <v>74</v>
      </c>
      <c r="F509" t="s">
        <v>6795</v>
      </c>
      <c r="G509" t="s">
        <v>74</v>
      </c>
      <c r="H509" t="s">
        <v>74</v>
      </c>
      <c r="I509" t="s">
        <v>6796</v>
      </c>
      <c r="J509" t="s">
        <v>3192</v>
      </c>
      <c r="K509" t="s">
        <v>74</v>
      </c>
      <c r="L509" t="s">
        <v>74</v>
      </c>
      <c r="M509" t="s">
        <v>77</v>
      </c>
      <c r="N509" t="s">
        <v>78</v>
      </c>
      <c r="O509" t="s">
        <v>74</v>
      </c>
      <c r="P509" t="s">
        <v>74</v>
      </c>
      <c r="Q509" t="s">
        <v>74</v>
      </c>
      <c r="R509" t="s">
        <v>74</v>
      </c>
      <c r="S509" t="s">
        <v>74</v>
      </c>
      <c r="T509" t="s">
        <v>74</v>
      </c>
      <c r="U509" t="s">
        <v>74</v>
      </c>
      <c r="V509" t="s">
        <v>74</v>
      </c>
      <c r="W509" t="s">
        <v>6797</v>
      </c>
      <c r="X509" t="s">
        <v>6798</v>
      </c>
      <c r="Y509" t="s">
        <v>6799</v>
      </c>
      <c r="Z509" t="s">
        <v>74</v>
      </c>
      <c r="AA509" t="s">
        <v>6800</v>
      </c>
      <c r="AB509" t="s">
        <v>6801</v>
      </c>
      <c r="AC509" t="s">
        <v>74</v>
      </c>
      <c r="AD509" t="s">
        <v>74</v>
      </c>
      <c r="AE509" t="s">
        <v>74</v>
      </c>
      <c r="AF509" t="s">
        <v>74</v>
      </c>
      <c r="AG509">
        <v>5</v>
      </c>
      <c r="AH509">
        <v>5</v>
      </c>
      <c r="AI509">
        <v>5</v>
      </c>
      <c r="AJ509">
        <v>0</v>
      </c>
      <c r="AK509">
        <v>4</v>
      </c>
      <c r="AL509" t="s">
        <v>3198</v>
      </c>
      <c r="AM509" t="s">
        <v>3199</v>
      </c>
      <c r="AN509" t="s">
        <v>3200</v>
      </c>
      <c r="AO509" t="s">
        <v>3201</v>
      </c>
      <c r="AP509" t="s">
        <v>74</v>
      </c>
      <c r="AQ509" t="s">
        <v>74</v>
      </c>
      <c r="AR509" t="s">
        <v>3192</v>
      </c>
      <c r="AS509" t="s">
        <v>3202</v>
      </c>
      <c r="AT509" t="s">
        <v>6460</v>
      </c>
      <c r="AU509">
        <v>1999</v>
      </c>
      <c r="AV509">
        <v>99</v>
      </c>
      <c r="AW509" t="s">
        <v>74</v>
      </c>
      <c r="AX509">
        <v>2</v>
      </c>
      <c r="AY509" t="s">
        <v>74</v>
      </c>
      <c r="AZ509" t="s">
        <v>74</v>
      </c>
      <c r="BA509" t="s">
        <v>74</v>
      </c>
      <c r="BB509">
        <v>142</v>
      </c>
      <c r="BC509">
        <v>145</v>
      </c>
      <c r="BD509" t="s">
        <v>74</v>
      </c>
      <c r="BE509" t="s">
        <v>6802</v>
      </c>
      <c r="BF509" t="str">
        <f>HYPERLINK("http://dx.doi.org/10.1071/MU99017A","http://dx.doi.org/10.1071/MU99017A")</f>
        <v>http://dx.doi.org/10.1071/MU99017A</v>
      </c>
      <c r="BG509" t="s">
        <v>74</v>
      </c>
      <c r="BH509" t="s">
        <v>74</v>
      </c>
      <c r="BI509">
        <v>4</v>
      </c>
      <c r="BJ509" t="s">
        <v>2212</v>
      </c>
      <c r="BK509" t="s">
        <v>96</v>
      </c>
      <c r="BL509" t="s">
        <v>142</v>
      </c>
      <c r="BM509" t="s">
        <v>6803</v>
      </c>
      <c r="BN509" t="s">
        <v>74</v>
      </c>
      <c r="BO509" t="s">
        <v>74</v>
      </c>
      <c r="BP509" t="s">
        <v>74</v>
      </c>
      <c r="BQ509" t="s">
        <v>74</v>
      </c>
      <c r="BR509" t="s">
        <v>99</v>
      </c>
      <c r="BS509" t="s">
        <v>6804</v>
      </c>
      <c r="BT509" t="str">
        <f>HYPERLINK("https%3A%2F%2Fwww.webofscience.com%2Fwos%2Fwoscc%2Ffull-record%2FWOS:000080788200007","View Full Record in Web of Science")</f>
        <v>View Full Record in Web of Science</v>
      </c>
    </row>
    <row r="510" spans="1:72" x14ac:dyDescent="0.15">
      <c r="A510" t="s">
        <v>72</v>
      </c>
      <c r="B510" t="s">
        <v>6805</v>
      </c>
      <c r="C510" t="s">
        <v>74</v>
      </c>
      <c r="D510" t="s">
        <v>74</v>
      </c>
      <c r="E510" t="s">
        <v>74</v>
      </c>
      <c r="F510" t="s">
        <v>6805</v>
      </c>
      <c r="G510" t="s">
        <v>74</v>
      </c>
      <c r="H510" t="s">
        <v>74</v>
      </c>
      <c r="I510" t="s">
        <v>6806</v>
      </c>
      <c r="J510" t="s">
        <v>3238</v>
      </c>
      <c r="K510" t="s">
        <v>74</v>
      </c>
      <c r="L510" t="s">
        <v>74</v>
      </c>
      <c r="M510" t="s">
        <v>77</v>
      </c>
      <c r="N510" t="s">
        <v>78</v>
      </c>
      <c r="O510" t="s">
        <v>74</v>
      </c>
      <c r="P510" t="s">
        <v>74</v>
      </c>
      <c r="Q510" t="s">
        <v>74</v>
      </c>
      <c r="R510" t="s">
        <v>74</v>
      </c>
      <c r="S510" t="s">
        <v>74</v>
      </c>
      <c r="T510" t="s">
        <v>6807</v>
      </c>
      <c r="U510" t="s">
        <v>6808</v>
      </c>
      <c r="V510" t="s">
        <v>6809</v>
      </c>
      <c r="W510" t="s">
        <v>2531</v>
      </c>
      <c r="X510" t="s">
        <v>2532</v>
      </c>
      <c r="Y510" t="s">
        <v>6810</v>
      </c>
      <c r="Z510" t="s">
        <v>6811</v>
      </c>
      <c r="AA510" t="s">
        <v>74</v>
      </c>
      <c r="AB510" t="s">
        <v>74</v>
      </c>
      <c r="AC510" t="s">
        <v>74</v>
      </c>
      <c r="AD510" t="s">
        <v>74</v>
      </c>
      <c r="AE510" t="s">
        <v>74</v>
      </c>
      <c r="AF510" t="s">
        <v>74</v>
      </c>
      <c r="AG510">
        <v>38</v>
      </c>
      <c r="AH510">
        <v>108</v>
      </c>
      <c r="AI510">
        <v>122</v>
      </c>
      <c r="AJ510">
        <v>4</v>
      </c>
      <c r="AK510">
        <v>37</v>
      </c>
      <c r="AL510" t="s">
        <v>997</v>
      </c>
      <c r="AM510" t="s">
        <v>998</v>
      </c>
      <c r="AN510" t="s">
        <v>999</v>
      </c>
      <c r="AO510" t="s">
        <v>3248</v>
      </c>
      <c r="AP510" t="s">
        <v>3249</v>
      </c>
      <c r="AQ510" t="s">
        <v>74</v>
      </c>
      <c r="AR510" t="s">
        <v>3250</v>
      </c>
      <c r="AS510" t="s">
        <v>3251</v>
      </c>
      <c r="AT510" t="s">
        <v>6460</v>
      </c>
      <c r="AU510">
        <v>1999</v>
      </c>
      <c r="AV510">
        <v>41</v>
      </c>
      <c r="AW510">
        <v>4</v>
      </c>
      <c r="AX510" t="s">
        <v>74</v>
      </c>
      <c r="AY510" t="s">
        <v>74</v>
      </c>
      <c r="AZ510" t="s">
        <v>74</v>
      </c>
      <c r="BA510" t="s">
        <v>74</v>
      </c>
      <c r="BB510">
        <v>737</v>
      </c>
      <c r="BC510">
        <v>746</v>
      </c>
      <c r="BD510" t="s">
        <v>74</v>
      </c>
      <c r="BE510" t="s">
        <v>6812</v>
      </c>
      <c r="BF510" t="str">
        <f>HYPERLINK("http://dx.doi.org/10.1046/j.1365-2427.1999.00401.x","http://dx.doi.org/10.1046/j.1365-2427.1999.00401.x")</f>
        <v>http://dx.doi.org/10.1046/j.1365-2427.1999.00401.x</v>
      </c>
      <c r="BG510" t="s">
        <v>74</v>
      </c>
      <c r="BH510" t="s">
        <v>74</v>
      </c>
      <c r="BI510">
        <v>10</v>
      </c>
      <c r="BJ510" t="s">
        <v>1703</v>
      </c>
      <c r="BK510" t="s">
        <v>96</v>
      </c>
      <c r="BL510" t="s">
        <v>1704</v>
      </c>
      <c r="BM510" t="s">
        <v>6813</v>
      </c>
      <c r="BN510" t="s">
        <v>74</v>
      </c>
      <c r="BO510" t="s">
        <v>74</v>
      </c>
      <c r="BP510" t="s">
        <v>74</v>
      </c>
      <c r="BQ510" t="s">
        <v>74</v>
      </c>
      <c r="BR510" t="s">
        <v>99</v>
      </c>
      <c r="BS510" t="s">
        <v>6814</v>
      </c>
      <c r="BT510" t="str">
        <f>HYPERLINK("https%3A%2F%2Fwww.webofscience.com%2Fwos%2Fwoscc%2Ffull-record%2FWOS:000081929600007","View Full Record in Web of Science")</f>
        <v>View Full Record in Web of Science</v>
      </c>
    </row>
    <row r="511" spans="1:72" x14ac:dyDescent="0.15">
      <c r="A511" t="s">
        <v>72</v>
      </c>
      <c r="B511" t="s">
        <v>6815</v>
      </c>
      <c r="C511" t="s">
        <v>74</v>
      </c>
      <c r="D511" t="s">
        <v>74</v>
      </c>
      <c r="E511" t="s">
        <v>74</v>
      </c>
      <c r="F511" t="s">
        <v>6815</v>
      </c>
      <c r="G511" t="s">
        <v>74</v>
      </c>
      <c r="H511" t="s">
        <v>74</v>
      </c>
      <c r="I511" t="s">
        <v>6816</v>
      </c>
      <c r="J511" t="s">
        <v>3257</v>
      </c>
      <c r="K511" t="s">
        <v>74</v>
      </c>
      <c r="L511" t="s">
        <v>74</v>
      </c>
      <c r="M511" t="s">
        <v>77</v>
      </c>
      <c r="N511" t="s">
        <v>78</v>
      </c>
      <c r="O511" t="s">
        <v>74</v>
      </c>
      <c r="P511" t="s">
        <v>74</v>
      </c>
      <c r="Q511" t="s">
        <v>74</v>
      </c>
      <c r="R511" t="s">
        <v>74</v>
      </c>
      <c r="S511" t="s">
        <v>74</v>
      </c>
      <c r="T511" t="s">
        <v>74</v>
      </c>
      <c r="U511" t="s">
        <v>6817</v>
      </c>
      <c r="V511" t="s">
        <v>6818</v>
      </c>
      <c r="W511" t="s">
        <v>6819</v>
      </c>
      <c r="X511" t="s">
        <v>6820</v>
      </c>
      <c r="Y511" t="s">
        <v>6821</v>
      </c>
      <c r="Z511" t="s">
        <v>74</v>
      </c>
      <c r="AA511" t="s">
        <v>6822</v>
      </c>
      <c r="AB511" t="s">
        <v>6823</v>
      </c>
      <c r="AC511" t="s">
        <v>74</v>
      </c>
      <c r="AD511" t="s">
        <v>74</v>
      </c>
      <c r="AE511" t="s">
        <v>74</v>
      </c>
      <c r="AF511" t="s">
        <v>74</v>
      </c>
      <c r="AG511">
        <v>62</v>
      </c>
      <c r="AH511">
        <v>145</v>
      </c>
      <c r="AI511">
        <v>194</v>
      </c>
      <c r="AJ511">
        <v>2</v>
      </c>
      <c r="AK511">
        <v>64</v>
      </c>
      <c r="AL511" t="s">
        <v>275</v>
      </c>
      <c r="AM511" t="s">
        <v>276</v>
      </c>
      <c r="AN511" t="s">
        <v>277</v>
      </c>
      <c r="AO511" t="s">
        <v>3266</v>
      </c>
      <c r="AP511" t="s">
        <v>74</v>
      </c>
      <c r="AQ511" t="s">
        <v>74</v>
      </c>
      <c r="AR511" t="s">
        <v>3268</v>
      </c>
      <c r="AS511" t="s">
        <v>3269</v>
      </c>
      <c r="AT511" t="s">
        <v>6460</v>
      </c>
      <c r="AU511">
        <v>1999</v>
      </c>
      <c r="AV511">
        <v>63</v>
      </c>
      <c r="AW511" t="s">
        <v>6824</v>
      </c>
      <c r="AX511" t="s">
        <v>74</v>
      </c>
      <c r="AY511" t="s">
        <v>74</v>
      </c>
      <c r="AZ511" t="s">
        <v>74</v>
      </c>
      <c r="BA511" t="s">
        <v>74</v>
      </c>
      <c r="BB511">
        <v>1689</v>
      </c>
      <c r="BC511">
        <v>1708</v>
      </c>
      <c r="BD511" t="s">
        <v>74</v>
      </c>
      <c r="BE511" t="s">
        <v>6825</v>
      </c>
      <c r="BF511" t="str">
        <f>HYPERLINK("http://dx.doi.org/10.1016/S0016-7037(99)00079-4","http://dx.doi.org/10.1016/S0016-7037(99)00079-4")</f>
        <v>http://dx.doi.org/10.1016/S0016-7037(99)00079-4</v>
      </c>
      <c r="BG511" t="s">
        <v>74</v>
      </c>
      <c r="BH511" t="s">
        <v>74</v>
      </c>
      <c r="BI511">
        <v>20</v>
      </c>
      <c r="BJ511" t="s">
        <v>216</v>
      </c>
      <c r="BK511" t="s">
        <v>96</v>
      </c>
      <c r="BL511" t="s">
        <v>216</v>
      </c>
      <c r="BM511" t="s">
        <v>6826</v>
      </c>
      <c r="BN511" t="s">
        <v>74</v>
      </c>
      <c r="BO511" t="s">
        <v>74</v>
      </c>
      <c r="BP511" t="s">
        <v>74</v>
      </c>
      <c r="BQ511" t="s">
        <v>74</v>
      </c>
      <c r="BR511" t="s">
        <v>99</v>
      </c>
      <c r="BS511" t="s">
        <v>6827</v>
      </c>
      <c r="BT511" t="str">
        <f>HYPERLINK("https%3A%2F%2Fwww.webofscience.com%2Fwos%2Fwoscc%2Ffull-record%2FWOS:000082080100007","View Full Record in Web of Science")</f>
        <v>View Full Record in Web of Science</v>
      </c>
    </row>
    <row r="512" spans="1:72" x14ac:dyDescent="0.15">
      <c r="A512" t="s">
        <v>72</v>
      </c>
      <c r="B512" t="s">
        <v>6828</v>
      </c>
      <c r="C512" t="s">
        <v>74</v>
      </c>
      <c r="D512" t="s">
        <v>74</v>
      </c>
      <c r="E512" t="s">
        <v>74</v>
      </c>
      <c r="F512" t="s">
        <v>6828</v>
      </c>
      <c r="G512" t="s">
        <v>74</v>
      </c>
      <c r="H512" t="s">
        <v>74</v>
      </c>
      <c r="I512" t="s">
        <v>6829</v>
      </c>
      <c r="J512" t="s">
        <v>378</v>
      </c>
      <c r="K512" t="s">
        <v>74</v>
      </c>
      <c r="L512" t="s">
        <v>74</v>
      </c>
      <c r="M512" t="s">
        <v>77</v>
      </c>
      <c r="N512" t="s">
        <v>78</v>
      </c>
      <c r="O512" t="s">
        <v>74</v>
      </c>
      <c r="P512" t="s">
        <v>74</v>
      </c>
      <c r="Q512" t="s">
        <v>74</v>
      </c>
      <c r="R512" t="s">
        <v>74</v>
      </c>
      <c r="S512" t="s">
        <v>74</v>
      </c>
      <c r="T512" t="s">
        <v>74</v>
      </c>
      <c r="U512" t="s">
        <v>6830</v>
      </c>
      <c r="V512" t="s">
        <v>6831</v>
      </c>
      <c r="W512" t="s">
        <v>6832</v>
      </c>
      <c r="X512" t="s">
        <v>6833</v>
      </c>
      <c r="Y512" t="s">
        <v>6834</v>
      </c>
      <c r="Z512" t="s">
        <v>74</v>
      </c>
      <c r="AA512" t="s">
        <v>6835</v>
      </c>
      <c r="AB512" t="s">
        <v>74</v>
      </c>
      <c r="AC512" t="s">
        <v>74</v>
      </c>
      <c r="AD512" t="s">
        <v>74</v>
      </c>
      <c r="AE512" t="s">
        <v>74</v>
      </c>
      <c r="AF512" t="s">
        <v>74</v>
      </c>
      <c r="AG512">
        <v>17</v>
      </c>
      <c r="AH512">
        <v>374</v>
      </c>
      <c r="AI512">
        <v>413</v>
      </c>
      <c r="AJ512">
        <v>3</v>
      </c>
      <c r="AK512">
        <v>74</v>
      </c>
      <c r="AL512" t="s">
        <v>230</v>
      </c>
      <c r="AM512" t="s">
        <v>231</v>
      </c>
      <c r="AN512" t="s">
        <v>232</v>
      </c>
      <c r="AO512" t="s">
        <v>382</v>
      </c>
      <c r="AP512" t="s">
        <v>74</v>
      </c>
      <c r="AQ512" t="s">
        <v>74</v>
      </c>
      <c r="AR512" t="s">
        <v>383</v>
      </c>
      <c r="AS512" t="s">
        <v>384</v>
      </c>
      <c r="AT512" t="s">
        <v>6836</v>
      </c>
      <c r="AU512">
        <v>1999</v>
      </c>
      <c r="AV512">
        <v>26</v>
      </c>
      <c r="AW512">
        <v>11</v>
      </c>
      <c r="AX512" t="s">
        <v>74</v>
      </c>
      <c r="AY512" t="s">
        <v>74</v>
      </c>
      <c r="AZ512" t="s">
        <v>74</v>
      </c>
      <c r="BA512" t="s">
        <v>74</v>
      </c>
      <c r="BB512">
        <v>1601</v>
      </c>
      <c r="BC512">
        <v>1604</v>
      </c>
      <c r="BD512" t="s">
        <v>74</v>
      </c>
      <c r="BE512" t="s">
        <v>6837</v>
      </c>
      <c r="BF512" t="str">
        <f>HYPERLINK("http://dx.doi.org/10.1029/1999GL900317","http://dx.doi.org/10.1029/1999GL900317")</f>
        <v>http://dx.doi.org/10.1029/1999GL900317</v>
      </c>
      <c r="BG512" t="s">
        <v>74</v>
      </c>
      <c r="BH512" t="s">
        <v>74</v>
      </c>
      <c r="BI512">
        <v>4</v>
      </c>
      <c r="BJ512" t="s">
        <v>387</v>
      </c>
      <c r="BK512" t="s">
        <v>96</v>
      </c>
      <c r="BL512" t="s">
        <v>388</v>
      </c>
      <c r="BM512" t="s">
        <v>6838</v>
      </c>
      <c r="BN512" t="s">
        <v>74</v>
      </c>
      <c r="BO512" t="s">
        <v>74</v>
      </c>
      <c r="BP512" t="s">
        <v>74</v>
      </c>
      <c r="BQ512" t="s">
        <v>74</v>
      </c>
      <c r="BR512" t="s">
        <v>99</v>
      </c>
      <c r="BS512" t="s">
        <v>6839</v>
      </c>
      <c r="BT512" t="str">
        <f>HYPERLINK("https%3A%2F%2Fwww.webofscience.com%2Fwos%2Fwoscc%2Ffull-record%2FWOS:000080660900023","View Full Record in Web of Science")</f>
        <v>View Full Record in Web of Science</v>
      </c>
    </row>
    <row r="513" spans="1:72" x14ac:dyDescent="0.15">
      <c r="A513" t="s">
        <v>72</v>
      </c>
      <c r="B513" t="s">
        <v>6840</v>
      </c>
      <c r="C513" t="s">
        <v>74</v>
      </c>
      <c r="D513" t="s">
        <v>74</v>
      </c>
      <c r="E513" t="s">
        <v>74</v>
      </c>
      <c r="F513" t="s">
        <v>6840</v>
      </c>
      <c r="G513" t="s">
        <v>74</v>
      </c>
      <c r="H513" t="s">
        <v>74</v>
      </c>
      <c r="I513" t="s">
        <v>6841</v>
      </c>
      <c r="J513" t="s">
        <v>6842</v>
      </c>
      <c r="K513" t="s">
        <v>74</v>
      </c>
      <c r="L513" t="s">
        <v>74</v>
      </c>
      <c r="M513" t="s">
        <v>77</v>
      </c>
      <c r="N513" t="s">
        <v>254</v>
      </c>
      <c r="O513" t="s">
        <v>74</v>
      </c>
      <c r="P513" t="s">
        <v>74</v>
      </c>
      <c r="Q513" t="s">
        <v>74</v>
      </c>
      <c r="R513" t="s">
        <v>74</v>
      </c>
      <c r="S513" t="s">
        <v>74</v>
      </c>
      <c r="T513" t="s">
        <v>74</v>
      </c>
      <c r="U513" t="s">
        <v>6843</v>
      </c>
      <c r="V513" t="s">
        <v>6844</v>
      </c>
      <c r="W513" t="s">
        <v>6845</v>
      </c>
      <c r="X513" t="s">
        <v>6846</v>
      </c>
      <c r="Y513" t="s">
        <v>6847</v>
      </c>
      <c r="Z513" t="s">
        <v>74</v>
      </c>
      <c r="AA513" t="s">
        <v>6848</v>
      </c>
      <c r="AB513" t="s">
        <v>6849</v>
      </c>
      <c r="AC513" t="s">
        <v>74</v>
      </c>
      <c r="AD513" t="s">
        <v>74</v>
      </c>
      <c r="AE513" t="s">
        <v>74</v>
      </c>
      <c r="AF513" t="s">
        <v>74</v>
      </c>
      <c r="AG513">
        <v>161</v>
      </c>
      <c r="AH513">
        <v>512</v>
      </c>
      <c r="AI513">
        <v>546</v>
      </c>
      <c r="AJ513">
        <v>5</v>
      </c>
      <c r="AK513">
        <v>118</v>
      </c>
      <c r="AL513" t="s">
        <v>230</v>
      </c>
      <c r="AM513" t="s">
        <v>231</v>
      </c>
      <c r="AN513" t="s">
        <v>232</v>
      </c>
      <c r="AO513" t="s">
        <v>6850</v>
      </c>
      <c r="AP513" t="s">
        <v>74</v>
      </c>
      <c r="AQ513" t="s">
        <v>74</v>
      </c>
      <c r="AR513" t="s">
        <v>6851</v>
      </c>
      <c r="AS513" t="s">
        <v>6852</v>
      </c>
      <c r="AT513" t="s">
        <v>6460</v>
      </c>
      <c r="AU513">
        <v>1999</v>
      </c>
      <c r="AV513">
        <v>13</v>
      </c>
      <c r="AW513">
        <v>2</v>
      </c>
      <c r="AX513" t="s">
        <v>74</v>
      </c>
      <c r="AY513" t="s">
        <v>74</v>
      </c>
      <c r="AZ513" t="s">
        <v>74</v>
      </c>
      <c r="BA513" t="s">
        <v>74</v>
      </c>
      <c r="BB513">
        <v>399</v>
      </c>
      <c r="BC513">
        <v>444</v>
      </c>
      <c r="BD513" t="s">
        <v>74</v>
      </c>
      <c r="BE513" t="s">
        <v>6853</v>
      </c>
      <c r="BF513" t="str">
        <f>HYPERLINK("http://dx.doi.org/10.1029/1999GB900004","http://dx.doi.org/10.1029/1999GB900004")</f>
        <v>http://dx.doi.org/10.1029/1999GB900004</v>
      </c>
      <c r="BG513" t="s">
        <v>74</v>
      </c>
      <c r="BH513" t="s">
        <v>74</v>
      </c>
      <c r="BI513">
        <v>46</v>
      </c>
      <c r="BJ513" t="s">
        <v>6854</v>
      </c>
      <c r="BK513" t="s">
        <v>96</v>
      </c>
      <c r="BL513" t="s">
        <v>6855</v>
      </c>
      <c r="BM513" t="s">
        <v>6856</v>
      </c>
      <c r="BN513" t="s">
        <v>74</v>
      </c>
      <c r="BO513" t="s">
        <v>2755</v>
      </c>
      <c r="BP513" t="s">
        <v>74</v>
      </c>
      <c r="BQ513" t="s">
        <v>74</v>
      </c>
      <c r="BR513" t="s">
        <v>99</v>
      </c>
      <c r="BS513" t="s">
        <v>6857</v>
      </c>
      <c r="BT513" t="str">
        <f>HYPERLINK("https%3A%2F%2Fwww.webofscience.com%2Fwos%2Fwoscc%2Ffull-record%2FWOS:000081264700009","View Full Record in Web of Science")</f>
        <v>View Full Record in Web of Science</v>
      </c>
    </row>
    <row r="514" spans="1:72" x14ac:dyDescent="0.15">
      <c r="A514" t="s">
        <v>72</v>
      </c>
      <c r="B514" t="s">
        <v>6858</v>
      </c>
      <c r="C514" t="s">
        <v>74</v>
      </c>
      <c r="D514" t="s">
        <v>74</v>
      </c>
      <c r="E514" t="s">
        <v>74</v>
      </c>
      <c r="F514" t="s">
        <v>6858</v>
      </c>
      <c r="G514" t="s">
        <v>74</v>
      </c>
      <c r="H514" t="s">
        <v>74</v>
      </c>
      <c r="I514" t="s">
        <v>6859</v>
      </c>
      <c r="J514" t="s">
        <v>6860</v>
      </c>
      <c r="K514" t="s">
        <v>74</v>
      </c>
      <c r="L514" t="s">
        <v>74</v>
      </c>
      <c r="M514" t="s">
        <v>77</v>
      </c>
      <c r="N514" t="s">
        <v>78</v>
      </c>
      <c r="O514" t="s">
        <v>74</v>
      </c>
      <c r="P514" t="s">
        <v>74</v>
      </c>
      <c r="Q514" t="s">
        <v>74</v>
      </c>
      <c r="R514" t="s">
        <v>74</v>
      </c>
      <c r="S514" t="s">
        <v>74</v>
      </c>
      <c r="T514" t="s">
        <v>74</v>
      </c>
      <c r="U514" t="s">
        <v>6861</v>
      </c>
      <c r="V514" t="s">
        <v>6862</v>
      </c>
      <c r="W514" t="s">
        <v>6863</v>
      </c>
      <c r="X514" t="s">
        <v>2684</v>
      </c>
      <c r="Y514" t="s">
        <v>6864</v>
      </c>
      <c r="Z514" t="s">
        <v>74</v>
      </c>
      <c r="AA514" t="s">
        <v>6865</v>
      </c>
      <c r="AB514" t="s">
        <v>6866</v>
      </c>
      <c r="AC514" t="s">
        <v>74</v>
      </c>
      <c r="AD514" t="s">
        <v>74</v>
      </c>
      <c r="AE514" t="s">
        <v>74</v>
      </c>
      <c r="AF514" t="s">
        <v>74</v>
      </c>
      <c r="AG514">
        <v>14</v>
      </c>
      <c r="AH514">
        <v>13</v>
      </c>
      <c r="AI514">
        <v>13</v>
      </c>
      <c r="AJ514">
        <v>1</v>
      </c>
      <c r="AK514">
        <v>5</v>
      </c>
      <c r="AL514" t="s">
        <v>6867</v>
      </c>
      <c r="AM514" t="s">
        <v>6868</v>
      </c>
      <c r="AN514" t="s">
        <v>6869</v>
      </c>
      <c r="AO514" t="s">
        <v>6870</v>
      </c>
      <c r="AP514" t="s">
        <v>74</v>
      </c>
      <c r="AQ514" t="s">
        <v>74</v>
      </c>
      <c r="AR514" t="s">
        <v>6871</v>
      </c>
      <c r="AS514" t="s">
        <v>6872</v>
      </c>
      <c r="AT514" t="s">
        <v>6460</v>
      </c>
      <c r="AU514">
        <v>1999</v>
      </c>
      <c r="AV514">
        <v>44</v>
      </c>
      <c r="AW514">
        <v>3</v>
      </c>
      <c r="AX514" t="s">
        <v>74</v>
      </c>
      <c r="AY514" t="s">
        <v>74</v>
      </c>
      <c r="AZ514" t="s">
        <v>74</v>
      </c>
      <c r="BA514" t="s">
        <v>74</v>
      </c>
      <c r="BB514">
        <v>407</v>
      </c>
      <c r="BC514">
        <v>415</v>
      </c>
      <c r="BD514" t="s">
        <v>74</v>
      </c>
      <c r="BE514" t="s">
        <v>6873</v>
      </c>
      <c r="BF514" t="str">
        <f>HYPERLINK("http://dx.doi.org/10.1080/02626669909492236","http://dx.doi.org/10.1080/02626669909492236")</f>
        <v>http://dx.doi.org/10.1080/02626669909492236</v>
      </c>
      <c r="BG514" t="s">
        <v>74</v>
      </c>
      <c r="BH514" t="s">
        <v>74</v>
      </c>
      <c r="BI514">
        <v>9</v>
      </c>
      <c r="BJ514" t="s">
        <v>6874</v>
      </c>
      <c r="BK514" t="s">
        <v>96</v>
      </c>
      <c r="BL514" t="s">
        <v>6874</v>
      </c>
      <c r="BM514" t="s">
        <v>6875</v>
      </c>
      <c r="BN514" t="s">
        <v>74</v>
      </c>
      <c r="BO514" t="s">
        <v>74</v>
      </c>
      <c r="BP514" t="s">
        <v>74</v>
      </c>
      <c r="BQ514" t="s">
        <v>74</v>
      </c>
      <c r="BR514" t="s">
        <v>99</v>
      </c>
      <c r="BS514" t="s">
        <v>6876</v>
      </c>
      <c r="BT514" t="str">
        <f>HYPERLINK("https%3A%2F%2Fwww.webofscience.com%2Fwos%2Fwoscc%2Ffull-record%2FWOS:000080705300006","View Full Record in Web of Science")</f>
        <v>View Full Record in Web of Science</v>
      </c>
    </row>
    <row r="515" spans="1:72" x14ac:dyDescent="0.15">
      <c r="A515" t="s">
        <v>72</v>
      </c>
      <c r="B515" t="s">
        <v>6877</v>
      </c>
      <c r="C515" t="s">
        <v>74</v>
      </c>
      <c r="D515" t="s">
        <v>74</v>
      </c>
      <c r="E515" t="s">
        <v>74</v>
      </c>
      <c r="F515" t="s">
        <v>6877</v>
      </c>
      <c r="G515" t="s">
        <v>74</v>
      </c>
      <c r="H515" t="s">
        <v>74</v>
      </c>
      <c r="I515" t="s">
        <v>6878</v>
      </c>
      <c r="J515" t="s">
        <v>6879</v>
      </c>
      <c r="K515" t="s">
        <v>74</v>
      </c>
      <c r="L515" t="s">
        <v>74</v>
      </c>
      <c r="M515" t="s">
        <v>77</v>
      </c>
      <c r="N515" t="s">
        <v>78</v>
      </c>
      <c r="O515" t="s">
        <v>74</v>
      </c>
      <c r="P515" t="s">
        <v>74</v>
      </c>
      <c r="Q515" t="s">
        <v>74</v>
      </c>
      <c r="R515" t="s">
        <v>74</v>
      </c>
      <c r="S515" t="s">
        <v>74</v>
      </c>
      <c r="T515" t="s">
        <v>74</v>
      </c>
      <c r="U515" t="s">
        <v>6880</v>
      </c>
      <c r="V515" t="s">
        <v>6881</v>
      </c>
      <c r="W515" t="s">
        <v>151</v>
      </c>
      <c r="X515" t="s">
        <v>131</v>
      </c>
      <c r="Y515" t="s">
        <v>6882</v>
      </c>
      <c r="Z515" t="s">
        <v>74</v>
      </c>
      <c r="AA515" t="s">
        <v>74</v>
      </c>
      <c r="AB515" t="s">
        <v>74</v>
      </c>
      <c r="AC515" t="s">
        <v>74</v>
      </c>
      <c r="AD515" t="s">
        <v>74</v>
      </c>
      <c r="AE515" t="s">
        <v>74</v>
      </c>
      <c r="AF515" t="s">
        <v>74</v>
      </c>
      <c r="AG515">
        <v>24</v>
      </c>
      <c r="AH515">
        <v>9</v>
      </c>
      <c r="AI515">
        <v>12</v>
      </c>
      <c r="AJ515">
        <v>0</v>
      </c>
      <c r="AK515">
        <v>1</v>
      </c>
      <c r="AL515" t="s">
        <v>3878</v>
      </c>
      <c r="AM515" t="s">
        <v>3879</v>
      </c>
      <c r="AN515" t="s">
        <v>3880</v>
      </c>
      <c r="AO515" t="s">
        <v>6883</v>
      </c>
      <c r="AP515" t="s">
        <v>74</v>
      </c>
      <c r="AQ515" t="s">
        <v>74</v>
      </c>
      <c r="AR515" t="s">
        <v>6884</v>
      </c>
      <c r="AS515" t="s">
        <v>6885</v>
      </c>
      <c r="AT515" t="s">
        <v>6460</v>
      </c>
      <c r="AU515">
        <v>1999</v>
      </c>
      <c r="AV515">
        <v>30</v>
      </c>
      <c r="AW515">
        <v>2</v>
      </c>
      <c r="AX515" t="s">
        <v>74</v>
      </c>
      <c r="AY515" t="s">
        <v>74</v>
      </c>
      <c r="AZ515" t="s">
        <v>74</v>
      </c>
      <c r="BA515" t="s">
        <v>74</v>
      </c>
      <c r="BB515">
        <v>127</v>
      </c>
      <c r="BC515">
        <v>134</v>
      </c>
      <c r="BD515" t="s">
        <v>74</v>
      </c>
      <c r="BE515" t="s">
        <v>6886</v>
      </c>
      <c r="BF515" t="str">
        <f>HYPERLINK("http://dx.doi.org/10.2307/3677121","http://dx.doi.org/10.2307/3677121")</f>
        <v>http://dx.doi.org/10.2307/3677121</v>
      </c>
      <c r="BG515" t="s">
        <v>74</v>
      </c>
      <c r="BH515" t="s">
        <v>74</v>
      </c>
      <c r="BI515">
        <v>8</v>
      </c>
      <c r="BJ515" t="s">
        <v>2212</v>
      </c>
      <c r="BK515" t="s">
        <v>96</v>
      </c>
      <c r="BL515" t="s">
        <v>142</v>
      </c>
      <c r="BM515" t="s">
        <v>6887</v>
      </c>
      <c r="BN515" t="s">
        <v>74</v>
      </c>
      <c r="BO515" t="s">
        <v>74</v>
      </c>
      <c r="BP515" t="s">
        <v>74</v>
      </c>
      <c r="BQ515" t="s">
        <v>74</v>
      </c>
      <c r="BR515" t="s">
        <v>99</v>
      </c>
      <c r="BS515" t="s">
        <v>6888</v>
      </c>
      <c r="BT515" t="str">
        <f>HYPERLINK("https%3A%2F%2Fwww.webofscience.com%2Fwos%2Fwoscc%2Ffull-record%2FWOS:000080855100001","View Full Record in Web of Science")</f>
        <v>View Full Record in Web of Science</v>
      </c>
    </row>
    <row r="516" spans="1:72" x14ac:dyDescent="0.15">
      <c r="A516" t="s">
        <v>72</v>
      </c>
      <c r="B516" t="s">
        <v>6889</v>
      </c>
      <c r="C516" t="s">
        <v>74</v>
      </c>
      <c r="D516" t="s">
        <v>74</v>
      </c>
      <c r="E516" t="s">
        <v>74</v>
      </c>
      <c r="F516" t="s">
        <v>6889</v>
      </c>
      <c r="G516" t="s">
        <v>74</v>
      </c>
      <c r="H516" t="s">
        <v>74</v>
      </c>
      <c r="I516" t="s">
        <v>6890</v>
      </c>
      <c r="J516" t="s">
        <v>6879</v>
      </c>
      <c r="K516" t="s">
        <v>74</v>
      </c>
      <c r="L516" t="s">
        <v>74</v>
      </c>
      <c r="M516" t="s">
        <v>77</v>
      </c>
      <c r="N516" t="s">
        <v>78</v>
      </c>
      <c r="O516" t="s">
        <v>74</v>
      </c>
      <c r="P516" t="s">
        <v>74</v>
      </c>
      <c r="Q516" t="s">
        <v>74</v>
      </c>
      <c r="R516" t="s">
        <v>74</v>
      </c>
      <c r="S516" t="s">
        <v>74</v>
      </c>
      <c r="T516" t="s">
        <v>74</v>
      </c>
      <c r="U516" t="s">
        <v>6891</v>
      </c>
      <c r="V516" t="s">
        <v>6892</v>
      </c>
      <c r="W516" t="s">
        <v>6893</v>
      </c>
      <c r="X516" t="s">
        <v>4874</v>
      </c>
      <c r="Y516" t="s">
        <v>6894</v>
      </c>
      <c r="Z516" t="s">
        <v>6895</v>
      </c>
      <c r="AA516" t="s">
        <v>3817</v>
      </c>
      <c r="AB516" t="s">
        <v>3818</v>
      </c>
      <c r="AC516" t="s">
        <v>74</v>
      </c>
      <c r="AD516" t="s">
        <v>74</v>
      </c>
      <c r="AE516" t="s">
        <v>74</v>
      </c>
      <c r="AF516" t="s">
        <v>74</v>
      </c>
      <c r="AG516">
        <v>48</v>
      </c>
      <c r="AH516">
        <v>52</v>
      </c>
      <c r="AI516">
        <v>54</v>
      </c>
      <c r="AJ516">
        <v>1</v>
      </c>
      <c r="AK516">
        <v>14</v>
      </c>
      <c r="AL516" t="s">
        <v>997</v>
      </c>
      <c r="AM516" t="s">
        <v>998</v>
      </c>
      <c r="AN516" t="s">
        <v>999</v>
      </c>
      <c r="AO516" t="s">
        <v>6883</v>
      </c>
      <c r="AP516" t="s">
        <v>6896</v>
      </c>
      <c r="AQ516" t="s">
        <v>74</v>
      </c>
      <c r="AR516" t="s">
        <v>6884</v>
      </c>
      <c r="AS516" t="s">
        <v>6885</v>
      </c>
      <c r="AT516" t="s">
        <v>6460</v>
      </c>
      <c r="AU516">
        <v>1999</v>
      </c>
      <c r="AV516">
        <v>30</v>
      </c>
      <c r="AW516">
        <v>2</v>
      </c>
      <c r="AX516" t="s">
        <v>74</v>
      </c>
      <c r="AY516" t="s">
        <v>74</v>
      </c>
      <c r="AZ516" t="s">
        <v>74</v>
      </c>
      <c r="BA516" t="s">
        <v>74</v>
      </c>
      <c r="BB516">
        <v>165</v>
      </c>
      <c r="BC516">
        <v>174</v>
      </c>
      <c r="BD516" t="s">
        <v>74</v>
      </c>
      <c r="BE516" t="s">
        <v>6897</v>
      </c>
      <c r="BF516" t="str">
        <f>HYPERLINK("http://dx.doi.org/10.2307/3677126","http://dx.doi.org/10.2307/3677126")</f>
        <v>http://dx.doi.org/10.2307/3677126</v>
      </c>
      <c r="BG516" t="s">
        <v>74</v>
      </c>
      <c r="BH516" t="s">
        <v>74</v>
      </c>
      <c r="BI516">
        <v>10</v>
      </c>
      <c r="BJ516" t="s">
        <v>2212</v>
      </c>
      <c r="BK516" t="s">
        <v>96</v>
      </c>
      <c r="BL516" t="s">
        <v>142</v>
      </c>
      <c r="BM516" t="s">
        <v>6887</v>
      </c>
      <c r="BN516" t="s">
        <v>74</v>
      </c>
      <c r="BO516" t="s">
        <v>74</v>
      </c>
      <c r="BP516" t="s">
        <v>74</v>
      </c>
      <c r="BQ516" t="s">
        <v>74</v>
      </c>
      <c r="BR516" t="s">
        <v>99</v>
      </c>
      <c r="BS516" t="s">
        <v>6898</v>
      </c>
      <c r="BT516" t="str">
        <f>HYPERLINK("https%3A%2F%2Fwww.webofscience.com%2Fwos%2Fwoscc%2Ffull-record%2FWOS:000080855100006","View Full Record in Web of Science")</f>
        <v>View Full Record in Web of Science</v>
      </c>
    </row>
    <row r="517" spans="1:72" x14ac:dyDescent="0.15">
      <c r="A517" t="s">
        <v>72</v>
      </c>
      <c r="B517" t="s">
        <v>6899</v>
      </c>
      <c r="C517" t="s">
        <v>74</v>
      </c>
      <c r="D517" t="s">
        <v>74</v>
      </c>
      <c r="E517" t="s">
        <v>74</v>
      </c>
      <c r="F517" t="s">
        <v>6899</v>
      </c>
      <c r="G517" t="s">
        <v>74</v>
      </c>
      <c r="H517" t="s">
        <v>74</v>
      </c>
      <c r="I517" t="s">
        <v>6900</v>
      </c>
      <c r="J517" t="s">
        <v>2235</v>
      </c>
      <c r="K517" t="s">
        <v>74</v>
      </c>
      <c r="L517" t="s">
        <v>74</v>
      </c>
      <c r="M517" t="s">
        <v>77</v>
      </c>
      <c r="N517" t="s">
        <v>78</v>
      </c>
      <c r="O517" t="s">
        <v>74</v>
      </c>
      <c r="P517" t="s">
        <v>74</v>
      </c>
      <c r="Q517" t="s">
        <v>74</v>
      </c>
      <c r="R517" t="s">
        <v>74</v>
      </c>
      <c r="S517" t="s">
        <v>74</v>
      </c>
      <c r="T517" t="s">
        <v>74</v>
      </c>
      <c r="U517" t="s">
        <v>6901</v>
      </c>
      <c r="V517" t="s">
        <v>6902</v>
      </c>
      <c r="W517" t="s">
        <v>6903</v>
      </c>
      <c r="X517" t="s">
        <v>6904</v>
      </c>
      <c r="Y517" t="s">
        <v>6905</v>
      </c>
      <c r="Z517" t="s">
        <v>74</v>
      </c>
      <c r="AA517" t="s">
        <v>3375</v>
      </c>
      <c r="AB517" t="s">
        <v>74</v>
      </c>
      <c r="AC517" t="s">
        <v>74</v>
      </c>
      <c r="AD517" t="s">
        <v>74</v>
      </c>
      <c r="AE517" t="s">
        <v>74</v>
      </c>
      <c r="AF517" t="s">
        <v>74</v>
      </c>
      <c r="AG517">
        <v>38</v>
      </c>
      <c r="AH517">
        <v>399</v>
      </c>
      <c r="AI517">
        <v>447</v>
      </c>
      <c r="AJ517">
        <v>3</v>
      </c>
      <c r="AK517">
        <v>36</v>
      </c>
      <c r="AL517" t="s">
        <v>86</v>
      </c>
      <c r="AM517" t="s">
        <v>87</v>
      </c>
      <c r="AN517" t="s">
        <v>88</v>
      </c>
      <c r="AO517" t="s">
        <v>2242</v>
      </c>
      <c r="AP517" t="s">
        <v>74</v>
      </c>
      <c r="AQ517" t="s">
        <v>74</v>
      </c>
      <c r="AR517" t="s">
        <v>2243</v>
      </c>
      <c r="AS517" t="s">
        <v>2244</v>
      </c>
      <c r="AT517" t="s">
        <v>6460</v>
      </c>
      <c r="AU517">
        <v>1999</v>
      </c>
      <c r="AV517">
        <v>12</v>
      </c>
      <c r="AW517">
        <v>6</v>
      </c>
      <c r="AX517" t="s">
        <v>74</v>
      </c>
      <c r="AY517" t="s">
        <v>74</v>
      </c>
      <c r="AZ517" t="s">
        <v>74</v>
      </c>
      <c r="BA517" t="s">
        <v>74</v>
      </c>
      <c r="BB517">
        <v>1814</v>
      </c>
      <c r="BC517">
        <v>1829</v>
      </c>
      <c r="BD517" t="s">
        <v>74</v>
      </c>
      <c r="BE517" t="s">
        <v>6906</v>
      </c>
      <c r="BF517" t="str">
        <f>HYPERLINK("http://dx.doi.org/10.1175/1520-0442(1999)012&lt;1814:SDOASI&gt;2.0.CO;2","http://dx.doi.org/10.1175/1520-0442(1999)012&lt;1814:SDOASI&gt;2.0.CO;2")</f>
        <v>http://dx.doi.org/10.1175/1520-0442(1999)012&lt;1814:SDOASI&gt;2.0.CO;2</v>
      </c>
      <c r="BG517" t="s">
        <v>74</v>
      </c>
      <c r="BH517" t="s">
        <v>74</v>
      </c>
      <c r="BI517">
        <v>16</v>
      </c>
      <c r="BJ517" t="s">
        <v>95</v>
      </c>
      <c r="BK517" t="s">
        <v>96</v>
      </c>
      <c r="BL517" t="s">
        <v>95</v>
      </c>
      <c r="BM517" t="s">
        <v>6907</v>
      </c>
      <c r="BN517" t="s">
        <v>74</v>
      </c>
      <c r="BO517" t="s">
        <v>98</v>
      </c>
      <c r="BP517" t="s">
        <v>74</v>
      </c>
      <c r="BQ517" t="s">
        <v>74</v>
      </c>
      <c r="BR517" t="s">
        <v>99</v>
      </c>
      <c r="BS517" t="s">
        <v>6908</v>
      </c>
      <c r="BT517" t="str">
        <f>HYPERLINK("https%3A%2F%2Fwww.webofscience.com%2Fwos%2Fwoscc%2Ffull-record%2FWOS:000081055800018","View Full Record in Web of Science")</f>
        <v>View Full Record in Web of Science</v>
      </c>
    </row>
    <row r="518" spans="1:72" x14ac:dyDescent="0.15">
      <c r="A518" t="s">
        <v>72</v>
      </c>
      <c r="B518" t="s">
        <v>6909</v>
      </c>
      <c r="C518" t="s">
        <v>74</v>
      </c>
      <c r="D518" t="s">
        <v>74</v>
      </c>
      <c r="E518" t="s">
        <v>74</v>
      </c>
      <c r="F518" t="s">
        <v>6909</v>
      </c>
      <c r="G518" t="s">
        <v>74</v>
      </c>
      <c r="H518" t="s">
        <v>74</v>
      </c>
      <c r="I518" t="s">
        <v>6910</v>
      </c>
      <c r="J518" t="s">
        <v>1063</v>
      </c>
      <c r="K518" t="s">
        <v>74</v>
      </c>
      <c r="L518" t="s">
        <v>74</v>
      </c>
      <c r="M518" t="s">
        <v>77</v>
      </c>
      <c r="N518" t="s">
        <v>78</v>
      </c>
      <c r="O518" t="s">
        <v>74</v>
      </c>
      <c r="P518" t="s">
        <v>74</v>
      </c>
      <c r="Q518" t="s">
        <v>74</v>
      </c>
      <c r="R518" t="s">
        <v>74</v>
      </c>
      <c r="S518" t="s">
        <v>74</v>
      </c>
      <c r="T518" t="s">
        <v>74</v>
      </c>
      <c r="U518" t="s">
        <v>6911</v>
      </c>
      <c r="V518" t="s">
        <v>6912</v>
      </c>
      <c r="W518" t="s">
        <v>1928</v>
      </c>
      <c r="X518" t="s">
        <v>131</v>
      </c>
      <c r="Y518" t="s">
        <v>5447</v>
      </c>
      <c r="Z518" t="s">
        <v>6913</v>
      </c>
      <c r="AA518" t="s">
        <v>2292</v>
      </c>
      <c r="AB518" t="s">
        <v>2293</v>
      </c>
      <c r="AC518" t="s">
        <v>74</v>
      </c>
      <c r="AD518" t="s">
        <v>74</v>
      </c>
      <c r="AE518" t="s">
        <v>74</v>
      </c>
      <c r="AF518" t="s">
        <v>74</v>
      </c>
      <c r="AG518">
        <v>24</v>
      </c>
      <c r="AH518">
        <v>22</v>
      </c>
      <c r="AI518">
        <v>23</v>
      </c>
      <c r="AJ518">
        <v>0</v>
      </c>
      <c r="AK518">
        <v>0</v>
      </c>
      <c r="AL518" t="s">
        <v>230</v>
      </c>
      <c r="AM518" t="s">
        <v>231</v>
      </c>
      <c r="AN518" t="s">
        <v>232</v>
      </c>
      <c r="AO518" t="s">
        <v>1070</v>
      </c>
      <c r="AP518" t="s">
        <v>1071</v>
      </c>
      <c r="AQ518" t="s">
        <v>74</v>
      </c>
      <c r="AR518" t="s">
        <v>1072</v>
      </c>
      <c r="AS518" t="s">
        <v>1073</v>
      </c>
      <c r="AT518" t="s">
        <v>6836</v>
      </c>
      <c r="AU518">
        <v>1999</v>
      </c>
      <c r="AV518">
        <v>104</v>
      </c>
      <c r="AW518" t="s">
        <v>6914</v>
      </c>
      <c r="AX518" t="s">
        <v>74</v>
      </c>
      <c r="AY518" t="s">
        <v>74</v>
      </c>
      <c r="AZ518" t="s">
        <v>74</v>
      </c>
      <c r="BA518" t="s">
        <v>74</v>
      </c>
      <c r="BB518">
        <v>12351</v>
      </c>
      <c r="BC518">
        <v>12360</v>
      </c>
      <c r="BD518" t="s">
        <v>74</v>
      </c>
      <c r="BE518" t="s">
        <v>6915</v>
      </c>
      <c r="BF518" t="str">
        <f>HYPERLINK("http://dx.doi.org/10.1029/1998JA900184","http://dx.doi.org/10.1029/1998JA900184")</f>
        <v>http://dx.doi.org/10.1029/1998JA900184</v>
      </c>
      <c r="BG518" t="s">
        <v>74</v>
      </c>
      <c r="BH518" t="s">
        <v>74</v>
      </c>
      <c r="BI518">
        <v>10</v>
      </c>
      <c r="BJ518" t="s">
        <v>1076</v>
      </c>
      <c r="BK518" t="s">
        <v>96</v>
      </c>
      <c r="BL518" t="s">
        <v>1076</v>
      </c>
      <c r="BM518" t="s">
        <v>6916</v>
      </c>
      <c r="BN518" t="s">
        <v>74</v>
      </c>
      <c r="BO518" t="s">
        <v>250</v>
      </c>
      <c r="BP518" t="s">
        <v>74</v>
      </c>
      <c r="BQ518" t="s">
        <v>74</v>
      </c>
      <c r="BR518" t="s">
        <v>99</v>
      </c>
      <c r="BS518" t="s">
        <v>6917</v>
      </c>
      <c r="BT518" t="str">
        <f>HYPERLINK("https%3A%2F%2Fwww.webofscience.com%2Fwos%2Fwoscc%2Ffull-record%2FWOS:000080600400010","View Full Record in Web of Science")</f>
        <v>View Full Record in Web of Science</v>
      </c>
    </row>
    <row r="519" spans="1:72" x14ac:dyDescent="0.15">
      <c r="A519" t="s">
        <v>72</v>
      </c>
      <c r="B519" t="s">
        <v>6918</v>
      </c>
      <c r="C519" t="s">
        <v>74</v>
      </c>
      <c r="D519" t="s">
        <v>74</v>
      </c>
      <c r="E519" t="s">
        <v>74</v>
      </c>
      <c r="F519" t="s">
        <v>6918</v>
      </c>
      <c r="G519" t="s">
        <v>74</v>
      </c>
      <c r="H519" t="s">
        <v>74</v>
      </c>
      <c r="I519" t="s">
        <v>6919</v>
      </c>
      <c r="J519" t="s">
        <v>1063</v>
      </c>
      <c r="K519" t="s">
        <v>74</v>
      </c>
      <c r="L519" t="s">
        <v>74</v>
      </c>
      <c r="M519" t="s">
        <v>77</v>
      </c>
      <c r="N519" t="s">
        <v>78</v>
      </c>
      <c r="O519" t="s">
        <v>74</v>
      </c>
      <c r="P519" t="s">
        <v>74</v>
      </c>
      <c r="Q519" t="s">
        <v>74</v>
      </c>
      <c r="R519" t="s">
        <v>74</v>
      </c>
      <c r="S519" t="s">
        <v>74</v>
      </c>
      <c r="T519" t="s">
        <v>74</v>
      </c>
      <c r="U519" t="s">
        <v>6920</v>
      </c>
      <c r="V519" t="s">
        <v>6921</v>
      </c>
      <c r="W519" t="s">
        <v>6922</v>
      </c>
      <c r="X519" t="s">
        <v>6923</v>
      </c>
      <c r="Y519" t="s">
        <v>6924</v>
      </c>
      <c r="Z519" t="s">
        <v>6925</v>
      </c>
      <c r="AA519" t="s">
        <v>6926</v>
      </c>
      <c r="AB519" t="s">
        <v>6927</v>
      </c>
      <c r="AC519" t="s">
        <v>74</v>
      </c>
      <c r="AD519" t="s">
        <v>74</v>
      </c>
      <c r="AE519" t="s">
        <v>74</v>
      </c>
      <c r="AF519" t="s">
        <v>74</v>
      </c>
      <c r="AG519">
        <v>23</v>
      </c>
      <c r="AH519">
        <v>66</v>
      </c>
      <c r="AI519">
        <v>67</v>
      </c>
      <c r="AJ519">
        <v>0</v>
      </c>
      <c r="AK519">
        <v>3</v>
      </c>
      <c r="AL519" t="s">
        <v>230</v>
      </c>
      <c r="AM519" t="s">
        <v>231</v>
      </c>
      <c r="AN519" t="s">
        <v>232</v>
      </c>
      <c r="AO519" t="s">
        <v>1070</v>
      </c>
      <c r="AP519" t="s">
        <v>1071</v>
      </c>
      <c r="AQ519" t="s">
        <v>74</v>
      </c>
      <c r="AR519" t="s">
        <v>1072</v>
      </c>
      <c r="AS519" t="s">
        <v>1073</v>
      </c>
      <c r="AT519" t="s">
        <v>6836</v>
      </c>
      <c r="AU519">
        <v>1999</v>
      </c>
      <c r="AV519">
        <v>104</v>
      </c>
      <c r="AW519" t="s">
        <v>6914</v>
      </c>
      <c r="AX519" t="s">
        <v>74</v>
      </c>
      <c r="AY519" t="s">
        <v>74</v>
      </c>
      <c r="AZ519" t="s">
        <v>74</v>
      </c>
      <c r="BA519" t="s">
        <v>74</v>
      </c>
      <c r="BB519">
        <v>12431</v>
      </c>
      <c r="BC519">
        <v>12444</v>
      </c>
      <c r="BD519" t="s">
        <v>74</v>
      </c>
      <c r="BE519" t="s">
        <v>6928</v>
      </c>
      <c r="BF519" t="str">
        <f>HYPERLINK("http://dx.doi.org/10.1029/1998JA900083","http://dx.doi.org/10.1029/1998JA900083")</f>
        <v>http://dx.doi.org/10.1029/1998JA900083</v>
      </c>
      <c r="BG519" t="s">
        <v>74</v>
      </c>
      <c r="BH519" t="s">
        <v>74</v>
      </c>
      <c r="BI519">
        <v>14</v>
      </c>
      <c r="BJ519" t="s">
        <v>1076</v>
      </c>
      <c r="BK519" t="s">
        <v>96</v>
      </c>
      <c r="BL519" t="s">
        <v>1076</v>
      </c>
      <c r="BM519" t="s">
        <v>6916</v>
      </c>
      <c r="BN519" t="s">
        <v>74</v>
      </c>
      <c r="BO519" t="s">
        <v>74</v>
      </c>
      <c r="BP519" t="s">
        <v>74</v>
      </c>
      <c r="BQ519" t="s">
        <v>74</v>
      </c>
      <c r="BR519" t="s">
        <v>99</v>
      </c>
      <c r="BS519" t="s">
        <v>6929</v>
      </c>
      <c r="BT519" t="str">
        <f>HYPERLINK("https%3A%2F%2Fwww.webofscience.com%2Fwos%2Fwoscc%2Ffull-record%2FWOS:000080600400017","View Full Record in Web of Science")</f>
        <v>View Full Record in Web of Science</v>
      </c>
    </row>
    <row r="520" spans="1:72" x14ac:dyDescent="0.15">
      <c r="A520" t="s">
        <v>72</v>
      </c>
      <c r="B520" t="s">
        <v>6930</v>
      </c>
      <c r="C520" t="s">
        <v>74</v>
      </c>
      <c r="D520" t="s">
        <v>74</v>
      </c>
      <c r="E520" t="s">
        <v>74</v>
      </c>
      <c r="F520" t="s">
        <v>6930</v>
      </c>
      <c r="G520" t="s">
        <v>74</v>
      </c>
      <c r="H520" t="s">
        <v>74</v>
      </c>
      <c r="I520" t="s">
        <v>6931</v>
      </c>
      <c r="J520" t="s">
        <v>6932</v>
      </c>
      <c r="K520" t="s">
        <v>74</v>
      </c>
      <c r="L520" t="s">
        <v>74</v>
      </c>
      <c r="M520" t="s">
        <v>77</v>
      </c>
      <c r="N520" t="s">
        <v>123</v>
      </c>
      <c r="O520" t="s">
        <v>6933</v>
      </c>
      <c r="P520" t="s">
        <v>6934</v>
      </c>
      <c r="Q520" t="s">
        <v>6935</v>
      </c>
      <c r="R520" t="s">
        <v>74</v>
      </c>
      <c r="S520" t="s">
        <v>74</v>
      </c>
      <c r="T520" t="s">
        <v>6936</v>
      </c>
      <c r="U520" t="s">
        <v>6937</v>
      </c>
      <c r="V520" t="s">
        <v>6938</v>
      </c>
      <c r="W520" t="s">
        <v>6939</v>
      </c>
      <c r="X520" t="s">
        <v>74</v>
      </c>
      <c r="Y520" t="s">
        <v>6940</v>
      </c>
      <c r="Z520" t="s">
        <v>74</v>
      </c>
      <c r="AA520" t="s">
        <v>74</v>
      </c>
      <c r="AB520" t="s">
        <v>74</v>
      </c>
      <c r="AC520" t="s">
        <v>74</v>
      </c>
      <c r="AD520" t="s">
        <v>74</v>
      </c>
      <c r="AE520" t="s">
        <v>74</v>
      </c>
      <c r="AF520" t="s">
        <v>74</v>
      </c>
      <c r="AG520">
        <v>15</v>
      </c>
      <c r="AH520">
        <v>23</v>
      </c>
      <c r="AI520">
        <v>25</v>
      </c>
      <c r="AJ520">
        <v>0</v>
      </c>
      <c r="AK520">
        <v>9</v>
      </c>
      <c r="AL520" t="s">
        <v>210</v>
      </c>
      <c r="AM520" t="s">
        <v>211</v>
      </c>
      <c r="AN520" t="s">
        <v>212</v>
      </c>
      <c r="AO520" t="s">
        <v>6941</v>
      </c>
      <c r="AP520" t="s">
        <v>74</v>
      </c>
      <c r="AQ520" t="s">
        <v>74</v>
      </c>
      <c r="AR520" t="s">
        <v>6942</v>
      </c>
      <c r="AS520" t="s">
        <v>6943</v>
      </c>
      <c r="AT520" t="s">
        <v>6460</v>
      </c>
      <c r="AU520">
        <v>1999</v>
      </c>
      <c r="AV520">
        <v>21</v>
      </c>
      <c r="AW520" t="s">
        <v>2149</v>
      </c>
      <c r="AX520" t="s">
        <v>74</v>
      </c>
      <c r="AY520" t="s">
        <v>74</v>
      </c>
      <c r="AZ520" t="s">
        <v>74</v>
      </c>
      <c r="BA520" t="s">
        <v>74</v>
      </c>
      <c r="BB520">
        <v>55</v>
      </c>
      <c r="BC520">
        <v>65</v>
      </c>
      <c r="BD520" t="s">
        <v>74</v>
      </c>
      <c r="BE520" t="s">
        <v>6944</v>
      </c>
      <c r="BF520" t="str">
        <f>HYPERLINK("http://dx.doi.org/10.1016/S0924-7963(99)00005-6","http://dx.doi.org/10.1016/S0924-7963(99)00005-6")</f>
        <v>http://dx.doi.org/10.1016/S0924-7963(99)00005-6</v>
      </c>
      <c r="BG520" t="s">
        <v>74</v>
      </c>
      <c r="BH520" t="s">
        <v>74</v>
      </c>
      <c r="BI520">
        <v>11</v>
      </c>
      <c r="BJ520" t="s">
        <v>6945</v>
      </c>
      <c r="BK520" t="s">
        <v>143</v>
      </c>
      <c r="BL520" t="s">
        <v>6946</v>
      </c>
      <c r="BM520" t="s">
        <v>6947</v>
      </c>
      <c r="BN520" t="s">
        <v>74</v>
      </c>
      <c r="BO520" t="s">
        <v>74</v>
      </c>
      <c r="BP520" t="s">
        <v>74</v>
      </c>
      <c r="BQ520" t="s">
        <v>74</v>
      </c>
      <c r="BR520" t="s">
        <v>99</v>
      </c>
      <c r="BS520" t="s">
        <v>6948</v>
      </c>
      <c r="BT520" t="str">
        <f>HYPERLINK("https%3A%2F%2Fwww.webofscience.com%2Fwos%2Fwoscc%2Ffull-record%2FWOS:000082595200004","View Full Record in Web of Science")</f>
        <v>View Full Record in Web of Science</v>
      </c>
    </row>
    <row r="521" spans="1:72" x14ac:dyDescent="0.15">
      <c r="A521" t="s">
        <v>72</v>
      </c>
      <c r="B521" t="s">
        <v>6949</v>
      </c>
      <c r="C521" t="s">
        <v>74</v>
      </c>
      <c r="D521" t="s">
        <v>74</v>
      </c>
      <c r="E521" t="s">
        <v>74</v>
      </c>
      <c r="F521" t="s">
        <v>6949</v>
      </c>
      <c r="G521" t="s">
        <v>74</v>
      </c>
      <c r="H521" t="s">
        <v>74</v>
      </c>
      <c r="I521" t="s">
        <v>6950</v>
      </c>
      <c r="J521" t="s">
        <v>6951</v>
      </c>
      <c r="K521" t="s">
        <v>74</v>
      </c>
      <c r="L521" t="s">
        <v>74</v>
      </c>
      <c r="M521" t="s">
        <v>77</v>
      </c>
      <c r="N521" t="s">
        <v>78</v>
      </c>
      <c r="O521" t="s">
        <v>74</v>
      </c>
      <c r="P521" t="s">
        <v>74</v>
      </c>
      <c r="Q521" t="s">
        <v>74</v>
      </c>
      <c r="R521" t="s">
        <v>74</v>
      </c>
      <c r="S521" t="s">
        <v>74</v>
      </c>
      <c r="T521" t="s">
        <v>6952</v>
      </c>
      <c r="U521" t="s">
        <v>6953</v>
      </c>
      <c r="V521" t="s">
        <v>6954</v>
      </c>
      <c r="W521" t="s">
        <v>6955</v>
      </c>
      <c r="X521" t="s">
        <v>2774</v>
      </c>
      <c r="Y521" t="s">
        <v>6956</v>
      </c>
      <c r="Z521" t="s">
        <v>74</v>
      </c>
      <c r="AA521" t="s">
        <v>74</v>
      </c>
      <c r="AB521" t="s">
        <v>6957</v>
      </c>
      <c r="AC521" t="s">
        <v>74</v>
      </c>
      <c r="AD521" t="s">
        <v>74</v>
      </c>
      <c r="AE521" t="s">
        <v>74</v>
      </c>
      <c r="AF521" t="s">
        <v>74</v>
      </c>
      <c r="AG521">
        <v>37</v>
      </c>
      <c r="AH521">
        <v>67</v>
      </c>
      <c r="AI521">
        <v>79</v>
      </c>
      <c r="AJ521">
        <v>2</v>
      </c>
      <c r="AK521">
        <v>21</v>
      </c>
      <c r="AL521" t="s">
        <v>6958</v>
      </c>
      <c r="AM521" t="s">
        <v>2392</v>
      </c>
      <c r="AN521" t="s">
        <v>6959</v>
      </c>
      <c r="AO521" t="s">
        <v>6960</v>
      </c>
      <c r="AP521" t="s">
        <v>74</v>
      </c>
      <c r="AQ521" t="s">
        <v>74</v>
      </c>
      <c r="AR521" t="s">
        <v>6961</v>
      </c>
      <c r="AS521" t="s">
        <v>6962</v>
      </c>
      <c r="AT521" t="s">
        <v>6460</v>
      </c>
      <c r="AU521">
        <v>1999</v>
      </c>
      <c r="AV521">
        <v>35</v>
      </c>
      <c r="AW521">
        <v>3</v>
      </c>
      <c r="AX521" t="s">
        <v>74</v>
      </c>
      <c r="AY521" t="s">
        <v>74</v>
      </c>
      <c r="AZ521" t="s">
        <v>74</v>
      </c>
      <c r="BA521" t="s">
        <v>74</v>
      </c>
      <c r="BB521">
        <v>448</v>
      </c>
      <c r="BC521">
        <v>459</v>
      </c>
      <c r="BD521" t="s">
        <v>74</v>
      </c>
      <c r="BE521" t="s">
        <v>6963</v>
      </c>
      <c r="BF521" t="str">
        <f>HYPERLINK("http://dx.doi.org/10.1046/j.1529-8817.1999.3530448.x","http://dx.doi.org/10.1046/j.1529-8817.1999.3530448.x")</f>
        <v>http://dx.doi.org/10.1046/j.1529-8817.1999.3530448.x</v>
      </c>
      <c r="BG521" t="s">
        <v>74</v>
      </c>
      <c r="BH521" t="s">
        <v>74</v>
      </c>
      <c r="BI521">
        <v>12</v>
      </c>
      <c r="BJ521" t="s">
        <v>2033</v>
      </c>
      <c r="BK521" t="s">
        <v>96</v>
      </c>
      <c r="BL521" t="s">
        <v>2033</v>
      </c>
      <c r="BM521" t="s">
        <v>6964</v>
      </c>
      <c r="BN521" t="s">
        <v>74</v>
      </c>
      <c r="BO521" t="s">
        <v>74</v>
      </c>
      <c r="BP521" t="s">
        <v>74</v>
      </c>
      <c r="BQ521" t="s">
        <v>74</v>
      </c>
      <c r="BR521" t="s">
        <v>99</v>
      </c>
      <c r="BS521" t="s">
        <v>6965</v>
      </c>
      <c r="BT521" t="str">
        <f>HYPERLINK("https%3A%2F%2Fwww.webofscience.com%2Fwos%2Fwoscc%2Ffull-record%2FWOS:000081229300004","View Full Record in Web of Science")</f>
        <v>View Full Record in Web of Science</v>
      </c>
    </row>
    <row r="522" spans="1:72" x14ac:dyDescent="0.15">
      <c r="A522" t="s">
        <v>72</v>
      </c>
      <c r="B522" t="s">
        <v>6966</v>
      </c>
      <c r="C522" t="s">
        <v>74</v>
      </c>
      <c r="D522" t="s">
        <v>74</v>
      </c>
      <c r="E522" t="s">
        <v>74</v>
      </c>
      <c r="F522" t="s">
        <v>6966</v>
      </c>
      <c r="G522" t="s">
        <v>74</v>
      </c>
      <c r="H522" t="s">
        <v>74</v>
      </c>
      <c r="I522" t="s">
        <v>6967</v>
      </c>
      <c r="J522" t="s">
        <v>1100</v>
      </c>
      <c r="K522" t="s">
        <v>74</v>
      </c>
      <c r="L522" t="s">
        <v>74</v>
      </c>
      <c r="M522" t="s">
        <v>77</v>
      </c>
      <c r="N522" t="s">
        <v>78</v>
      </c>
      <c r="O522" t="s">
        <v>74</v>
      </c>
      <c r="P522" t="s">
        <v>74</v>
      </c>
      <c r="Q522" t="s">
        <v>74</v>
      </c>
      <c r="R522" t="s">
        <v>74</v>
      </c>
      <c r="S522" t="s">
        <v>74</v>
      </c>
      <c r="T522" t="s">
        <v>74</v>
      </c>
      <c r="U522" t="s">
        <v>6968</v>
      </c>
      <c r="V522" t="s">
        <v>6969</v>
      </c>
      <c r="W522" t="s">
        <v>6970</v>
      </c>
      <c r="X522" t="s">
        <v>6971</v>
      </c>
      <c r="Y522" t="s">
        <v>6972</v>
      </c>
      <c r="Z522" t="s">
        <v>6973</v>
      </c>
      <c r="AA522" t="s">
        <v>74</v>
      </c>
      <c r="AB522" t="s">
        <v>74</v>
      </c>
      <c r="AC522" t="s">
        <v>74</v>
      </c>
      <c r="AD522" t="s">
        <v>74</v>
      </c>
      <c r="AE522" t="s">
        <v>74</v>
      </c>
      <c r="AF522" t="s">
        <v>74</v>
      </c>
      <c r="AG522">
        <v>22</v>
      </c>
      <c r="AH522">
        <v>38</v>
      </c>
      <c r="AI522">
        <v>39</v>
      </c>
      <c r="AJ522">
        <v>1</v>
      </c>
      <c r="AK522">
        <v>7</v>
      </c>
      <c r="AL522" t="s">
        <v>86</v>
      </c>
      <c r="AM522" t="s">
        <v>87</v>
      </c>
      <c r="AN522" t="s">
        <v>88</v>
      </c>
      <c r="AO522" t="s">
        <v>1106</v>
      </c>
      <c r="AP522" t="s">
        <v>2302</v>
      </c>
      <c r="AQ522" t="s">
        <v>74</v>
      </c>
      <c r="AR522" t="s">
        <v>1107</v>
      </c>
      <c r="AS522" t="s">
        <v>1108</v>
      </c>
      <c r="AT522" t="s">
        <v>6460</v>
      </c>
      <c r="AU522">
        <v>1999</v>
      </c>
      <c r="AV522">
        <v>29</v>
      </c>
      <c r="AW522">
        <v>6</v>
      </c>
      <c r="AX522" t="s">
        <v>74</v>
      </c>
      <c r="AY522" t="s">
        <v>74</v>
      </c>
      <c r="AZ522" t="s">
        <v>74</v>
      </c>
      <c r="BA522" t="s">
        <v>74</v>
      </c>
      <c r="BB522">
        <v>1143</v>
      </c>
      <c r="BC522">
        <v>1155</v>
      </c>
      <c r="BD522" t="s">
        <v>74</v>
      </c>
      <c r="BE522" t="s">
        <v>6974</v>
      </c>
      <c r="BF522" t="str">
        <f>HYPERLINK("http://dx.doi.org/10.1175/1520-0485(1999)029&lt;1143:JSASIS&gt;2.0.CO;2","http://dx.doi.org/10.1175/1520-0485(1999)029&lt;1143:JSASIS&gt;2.0.CO;2")</f>
        <v>http://dx.doi.org/10.1175/1520-0485(1999)029&lt;1143:JSASIS&gt;2.0.CO;2</v>
      </c>
      <c r="BG522" t="s">
        <v>74</v>
      </c>
      <c r="BH522" t="s">
        <v>74</v>
      </c>
      <c r="BI522">
        <v>13</v>
      </c>
      <c r="BJ522" t="s">
        <v>416</v>
      </c>
      <c r="BK522" t="s">
        <v>96</v>
      </c>
      <c r="BL522" t="s">
        <v>416</v>
      </c>
      <c r="BM522" t="s">
        <v>6975</v>
      </c>
      <c r="BN522" t="s">
        <v>74</v>
      </c>
      <c r="BO522" t="s">
        <v>98</v>
      </c>
      <c r="BP522" t="s">
        <v>74</v>
      </c>
      <c r="BQ522" t="s">
        <v>74</v>
      </c>
      <c r="BR522" t="s">
        <v>99</v>
      </c>
      <c r="BS522" t="s">
        <v>6976</v>
      </c>
      <c r="BT522" t="str">
        <f>HYPERLINK("https%3A%2F%2Fwww.webofscience.com%2Fwos%2Fwoscc%2Ffull-record%2FWOS:000081090500005","View Full Record in Web of Science")</f>
        <v>View Full Record in Web of Science</v>
      </c>
    </row>
    <row r="523" spans="1:72" x14ac:dyDescent="0.15">
      <c r="A523" t="s">
        <v>72</v>
      </c>
      <c r="B523" t="s">
        <v>6977</v>
      </c>
      <c r="C523" t="s">
        <v>74</v>
      </c>
      <c r="D523" t="s">
        <v>74</v>
      </c>
      <c r="E523" t="s">
        <v>74</v>
      </c>
      <c r="F523" t="s">
        <v>6977</v>
      </c>
      <c r="G523" t="s">
        <v>74</v>
      </c>
      <c r="H523" t="s">
        <v>74</v>
      </c>
      <c r="I523" t="s">
        <v>6978</v>
      </c>
      <c r="J523" t="s">
        <v>1100</v>
      </c>
      <c r="K523" t="s">
        <v>74</v>
      </c>
      <c r="L523" t="s">
        <v>74</v>
      </c>
      <c r="M523" t="s">
        <v>77</v>
      </c>
      <c r="N523" t="s">
        <v>78</v>
      </c>
      <c r="O523" t="s">
        <v>74</v>
      </c>
      <c r="P523" t="s">
        <v>74</v>
      </c>
      <c r="Q523" t="s">
        <v>74</v>
      </c>
      <c r="R523" t="s">
        <v>74</v>
      </c>
      <c r="S523" t="s">
        <v>74</v>
      </c>
      <c r="T523" t="s">
        <v>74</v>
      </c>
      <c r="U523" t="s">
        <v>6979</v>
      </c>
      <c r="V523" t="s">
        <v>6980</v>
      </c>
      <c r="W523" t="s">
        <v>6981</v>
      </c>
      <c r="X523" t="s">
        <v>6982</v>
      </c>
      <c r="Y523" t="s">
        <v>6983</v>
      </c>
      <c r="Z523" t="s">
        <v>74</v>
      </c>
      <c r="AA523" t="s">
        <v>6984</v>
      </c>
      <c r="AB523" t="s">
        <v>6985</v>
      </c>
      <c r="AC523" t="s">
        <v>74</v>
      </c>
      <c r="AD523" t="s">
        <v>74</v>
      </c>
      <c r="AE523" t="s">
        <v>74</v>
      </c>
      <c r="AF523" t="s">
        <v>74</v>
      </c>
      <c r="AG523">
        <v>33</v>
      </c>
      <c r="AH523">
        <v>99</v>
      </c>
      <c r="AI523">
        <v>105</v>
      </c>
      <c r="AJ523">
        <v>0</v>
      </c>
      <c r="AK523">
        <v>10</v>
      </c>
      <c r="AL523" t="s">
        <v>86</v>
      </c>
      <c r="AM523" t="s">
        <v>87</v>
      </c>
      <c r="AN523" t="s">
        <v>88</v>
      </c>
      <c r="AO523" t="s">
        <v>1106</v>
      </c>
      <c r="AP523" t="s">
        <v>74</v>
      </c>
      <c r="AQ523" t="s">
        <v>74</v>
      </c>
      <c r="AR523" t="s">
        <v>1107</v>
      </c>
      <c r="AS523" t="s">
        <v>1108</v>
      </c>
      <c r="AT523" t="s">
        <v>6460</v>
      </c>
      <c r="AU523">
        <v>1999</v>
      </c>
      <c r="AV523">
        <v>29</v>
      </c>
      <c r="AW523">
        <v>6</v>
      </c>
      <c r="AX523" t="s">
        <v>74</v>
      </c>
      <c r="AY523" t="s">
        <v>74</v>
      </c>
      <c r="AZ523" t="s">
        <v>74</v>
      </c>
      <c r="BA523" t="s">
        <v>74</v>
      </c>
      <c r="BB523">
        <v>1166</v>
      </c>
      <c r="BC523">
        <v>1179</v>
      </c>
      <c r="BD523" t="s">
        <v>74</v>
      </c>
      <c r="BE523" t="s">
        <v>6986</v>
      </c>
      <c r="BF523" t="str">
        <f>HYPERLINK("http://dx.doi.org/10.1175/1520-0485(1999)029&lt;1166:OHFITC&gt;2.0.CO;2","http://dx.doi.org/10.1175/1520-0485(1999)029&lt;1166:OHFITC&gt;2.0.CO;2")</f>
        <v>http://dx.doi.org/10.1175/1520-0485(1999)029&lt;1166:OHFITC&gt;2.0.CO;2</v>
      </c>
      <c r="BG523" t="s">
        <v>74</v>
      </c>
      <c r="BH523" t="s">
        <v>74</v>
      </c>
      <c r="BI523">
        <v>14</v>
      </c>
      <c r="BJ523" t="s">
        <v>416</v>
      </c>
      <c r="BK523" t="s">
        <v>96</v>
      </c>
      <c r="BL523" t="s">
        <v>416</v>
      </c>
      <c r="BM523" t="s">
        <v>6975</v>
      </c>
      <c r="BN523" t="s">
        <v>74</v>
      </c>
      <c r="BO523" t="s">
        <v>98</v>
      </c>
      <c r="BP523" t="s">
        <v>74</v>
      </c>
      <c r="BQ523" t="s">
        <v>74</v>
      </c>
      <c r="BR523" t="s">
        <v>99</v>
      </c>
      <c r="BS523" t="s">
        <v>6987</v>
      </c>
      <c r="BT523" t="str">
        <f>HYPERLINK("https%3A%2F%2Fwww.webofscience.com%2Fwos%2Fwoscc%2Ffull-record%2FWOS:000081090500007","View Full Record in Web of Science")</f>
        <v>View Full Record in Web of Science</v>
      </c>
    </row>
    <row r="524" spans="1:72" x14ac:dyDescent="0.15">
      <c r="A524" t="s">
        <v>72</v>
      </c>
      <c r="B524" t="s">
        <v>6988</v>
      </c>
      <c r="C524" t="s">
        <v>74</v>
      </c>
      <c r="D524" t="s">
        <v>74</v>
      </c>
      <c r="E524" t="s">
        <v>74</v>
      </c>
      <c r="F524" t="s">
        <v>6988</v>
      </c>
      <c r="G524" t="s">
        <v>74</v>
      </c>
      <c r="H524" t="s">
        <v>74</v>
      </c>
      <c r="I524" t="s">
        <v>6989</v>
      </c>
      <c r="J524" t="s">
        <v>6990</v>
      </c>
      <c r="K524" t="s">
        <v>74</v>
      </c>
      <c r="L524" t="s">
        <v>74</v>
      </c>
      <c r="M524" t="s">
        <v>77</v>
      </c>
      <c r="N524" t="s">
        <v>78</v>
      </c>
      <c r="O524" t="s">
        <v>74</v>
      </c>
      <c r="P524" t="s">
        <v>74</v>
      </c>
      <c r="Q524" t="s">
        <v>74</v>
      </c>
      <c r="R524" t="s">
        <v>74</v>
      </c>
      <c r="S524" t="s">
        <v>74</v>
      </c>
      <c r="T524" t="s">
        <v>6991</v>
      </c>
      <c r="U524" t="s">
        <v>6992</v>
      </c>
      <c r="V524" t="s">
        <v>6993</v>
      </c>
      <c r="W524" t="s">
        <v>6994</v>
      </c>
      <c r="X524" t="s">
        <v>583</v>
      </c>
      <c r="Y524" t="s">
        <v>6995</v>
      </c>
      <c r="Z524" t="s">
        <v>74</v>
      </c>
      <c r="AA524" t="s">
        <v>6996</v>
      </c>
      <c r="AB524" t="s">
        <v>74</v>
      </c>
      <c r="AC524" t="s">
        <v>74</v>
      </c>
      <c r="AD524" t="s">
        <v>74</v>
      </c>
      <c r="AE524" t="s">
        <v>74</v>
      </c>
      <c r="AF524" t="s">
        <v>74</v>
      </c>
      <c r="AG524">
        <v>44</v>
      </c>
      <c r="AH524">
        <v>10</v>
      </c>
      <c r="AI524">
        <v>11</v>
      </c>
      <c r="AJ524">
        <v>0</v>
      </c>
      <c r="AK524">
        <v>10</v>
      </c>
      <c r="AL524" t="s">
        <v>6997</v>
      </c>
      <c r="AM524" t="s">
        <v>2555</v>
      </c>
      <c r="AN524" t="s">
        <v>6998</v>
      </c>
      <c r="AO524" t="s">
        <v>6999</v>
      </c>
      <c r="AP524" t="s">
        <v>74</v>
      </c>
      <c r="AQ524" t="s">
        <v>74</v>
      </c>
      <c r="AR524" t="s">
        <v>7000</v>
      </c>
      <c r="AS524" t="s">
        <v>7001</v>
      </c>
      <c r="AT524" t="s">
        <v>6460</v>
      </c>
      <c r="AU524">
        <v>1999</v>
      </c>
      <c r="AV524">
        <v>112</v>
      </c>
      <c r="AW524">
        <v>1106</v>
      </c>
      <c r="AX524" t="s">
        <v>74</v>
      </c>
      <c r="AY524" t="s">
        <v>74</v>
      </c>
      <c r="AZ524" t="s">
        <v>74</v>
      </c>
      <c r="BA524" t="s">
        <v>74</v>
      </c>
      <c r="BB524">
        <v>163</v>
      </c>
      <c r="BC524">
        <v>174</v>
      </c>
      <c r="BD524" t="s">
        <v>74</v>
      </c>
      <c r="BE524" t="s">
        <v>7002</v>
      </c>
      <c r="BF524" t="str">
        <f>HYPERLINK("http://dx.doi.org/10.1007/PL00013870","http://dx.doi.org/10.1007/PL00013870")</f>
        <v>http://dx.doi.org/10.1007/PL00013870</v>
      </c>
      <c r="BG524" t="s">
        <v>74</v>
      </c>
      <c r="BH524" t="s">
        <v>74</v>
      </c>
      <c r="BI524">
        <v>12</v>
      </c>
      <c r="BJ524" t="s">
        <v>5977</v>
      </c>
      <c r="BK524" t="s">
        <v>96</v>
      </c>
      <c r="BL524" t="s">
        <v>5977</v>
      </c>
      <c r="BM524" t="s">
        <v>7003</v>
      </c>
      <c r="BN524" t="s">
        <v>74</v>
      </c>
      <c r="BO524" t="s">
        <v>74</v>
      </c>
      <c r="BP524" t="s">
        <v>74</v>
      </c>
      <c r="BQ524" t="s">
        <v>74</v>
      </c>
      <c r="BR524" t="s">
        <v>99</v>
      </c>
      <c r="BS524" t="s">
        <v>7004</v>
      </c>
      <c r="BT524" t="str">
        <f>HYPERLINK("https%3A%2F%2Fwww.webofscience.com%2Fwos%2Fwoscc%2Ffull-record%2FWOS:000087329700003","View Full Record in Web of Science")</f>
        <v>View Full Record in Web of Science</v>
      </c>
    </row>
    <row r="525" spans="1:72" x14ac:dyDescent="0.15">
      <c r="A525" t="s">
        <v>72</v>
      </c>
      <c r="B525" t="s">
        <v>7005</v>
      </c>
      <c r="C525" t="s">
        <v>74</v>
      </c>
      <c r="D525" t="s">
        <v>74</v>
      </c>
      <c r="E525" t="s">
        <v>74</v>
      </c>
      <c r="F525" t="s">
        <v>7005</v>
      </c>
      <c r="G525" t="s">
        <v>74</v>
      </c>
      <c r="H525" t="s">
        <v>74</v>
      </c>
      <c r="I525" t="s">
        <v>7006</v>
      </c>
      <c r="J525" t="s">
        <v>6330</v>
      </c>
      <c r="K525" t="s">
        <v>74</v>
      </c>
      <c r="L525" t="s">
        <v>74</v>
      </c>
      <c r="M525" t="s">
        <v>77</v>
      </c>
      <c r="N525" t="s">
        <v>78</v>
      </c>
      <c r="O525" t="s">
        <v>74</v>
      </c>
      <c r="P525" t="s">
        <v>74</v>
      </c>
      <c r="Q525" t="s">
        <v>74</v>
      </c>
      <c r="R525" t="s">
        <v>74</v>
      </c>
      <c r="S525" t="s">
        <v>74</v>
      </c>
      <c r="T525" t="s">
        <v>74</v>
      </c>
      <c r="U525" t="s">
        <v>7007</v>
      </c>
      <c r="V525" t="s">
        <v>7008</v>
      </c>
      <c r="W525" t="s">
        <v>7009</v>
      </c>
      <c r="X525" t="s">
        <v>7010</v>
      </c>
      <c r="Y525" t="s">
        <v>7011</v>
      </c>
      <c r="Z525" t="s">
        <v>74</v>
      </c>
      <c r="AA525" t="s">
        <v>7012</v>
      </c>
      <c r="AB525" t="s">
        <v>7013</v>
      </c>
      <c r="AC525" t="s">
        <v>74</v>
      </c>
      <c r="AD525" t="s">
        <v>74</v>
      </c>
      <c r="AE525" t="s">
        <v>74</v>
      </c>
      <c r="AF525" t="s">
        <v>74</v>
      </c>
      <c r="AG525">
        <v>33</v>
      </c>
      <c r="AH525">
        <v>180</v>
      </c>
      <c r="AI525">
        <v>192</v>
      </c>
      <c r="AJ525">
        <v>7</v>
      </c>
      <c r="AK525">
        <v>35</v>
      </c>
      <c r="AL525" t="s">
        <v>86</v>
      </c>
      <c r="AM525" t="s">
        <v>87</v>
      </c>
      <c r="AN525" t="s">
        <v>88</v>
      </c>
      <c r="AO525" t="s">
        <v>6338</v>
      </c>
      <c r="AP525" t="s">
        <v>74</v>
      </c>
      <c r="AQ525" t="s">
        <v>74</v>
      </c>
      <c r="AR525" t="s">
        <v>6339</v>
      </c>
      <c r="AS525" t="s">
        <v>6340</v>
      </c>
      <c r="AT525" t="s">
        <v>6836</v>
      </c>
      <c r="AU525">
        <v>1999</v>
      </c>
      <c r="AV525">
        <v>56</v>
      </c>
      <c r="AW525">
        <v>11</v>
      </c>
      <c r="AX525" t="s">
        <v>74</v>
      </c>
      <c r="AY525" t="s">
        <v>74</v>
      </c>
      <c r="AZ525" t="s">
        <v>74</v>
      </c>
      <c r="BA525" t="s">
        <v>74</v>
      </c>
      <c r="BB525">
        <v>1594</v>
      </c>
      <c r="BC525">
        <v>1613</v>
      </c>
      <c r="BD525" t="s">
        <v>74</v>
      </c>
      <c r="BE525" t="s">
        <v>7014</v>
      </c>
      <c r="BF525" t="str">
        <f>HYPERLINK("http://dx.doi.org/10.1175/1520-0469(1999)056&lt;1594:COAAAP&gt;2.0.CO;2","http://dx.doi.org/10.1175/1520-0469(1999)056&lt;1594:COAAAP&gt;2.0.CO;2")</f>
        <v>http://dx.doi.org/10.1175/1520-0469(1999)056&lt;1594:COAAAP&gt;2.0.CO;2</v>
      </c>
      <c r="BG525" t="s">
        <v>74</v>
      </c>
      <c r="BH525" t="s">
        <v>74</v>
      </c>
      <c r="BI525">
        <v>20</v>
      </c>
      <c r="BJ525" t="s">
        <v>95</v>
      </c>
      <c r="BK525" t="s">
        <v>96</v>
      </c>
      <c r="BL525" t="s">
        <v>95</v>
      </c>
      <c r="BM525" t="s">
        <v>7015</v>
      </c>
      <c r="BN525" t="s">
        <v>74</v>
      </c>
      <c r="BO525" t="s">
        <v>250</v>
      </c>
      <c r="BP525" t="s">
        <v>74</v>
      </c>
      <c r="BQ525" t="s">
        <v>74</v>
      </c>
      <c r="BR525" t="s">
        <v>99</v>
      </c>
      <c r="BS525" t="s">
        <v>7016</v>
      </c>
      <c r="BT525" t="str">
        <f>HYPERLINK("https%3A%2F%2Fwww.webofscience.com%2Fwos%2Fwoscc%2Ffull-record%2FWOS:000080762200010","View Full Record in Web of Science")</f>
        <v>View Full Record in Web of Science</v>
      </c>
    </row>
    <row r="526" spans="1:72" x14ac:dyDescent="0.15">
      <c r="A526" t="s">
        <v>72</v>
      </c>
      <c r="B526" t="s">
        <v>7017</v>
      </c>
      <c r="C526" t="s">
        <v>74</v>
      </c>
      <c r="D526" t="s">
        <v>74</v>
      </c>
      <c r="E526" t="s">
        <v>74</v>
      </c>
      <c r="F526" t="s">
        <v>7017</v>
      </c>
      <c r="G526" t="s">
        <v>74</v>
      </c>
      <c r="H526" t="s">
        <v>74</v>
      </c>
      <c r="I526" t="s">
        <v>7018</v>
      </c>
      <c r="J526" t="s">
        <v>7019</v>
      </c>
      <c r="K526" t="s">
        <v>74</v>
      </c>
      <c r="L526" t="s">
        <v>74</v>
      </c>
      <c r="M526" t="s">
        <v>77</v>
      </c>
      <c r="N526" t="s">
        <v>78</v>
      </c>
      <c r="O526" t="s">
        <v>74</v>
      </c>
      <c r="P526" t="s">
        <v>74</v>
      </c>
      <c r="Q526" t="s">
        <v>74</v>
      </c>
      <c r="R526" t="s">
        <v>74</v>
      </c>
      <c r="S526" t="s">
        <v>74</v>
      </c>
      <c r="T526" t="s">
        <v>7020</v>
      </c>
      <c r="U526" t="s">
        <v>7021</v>
      </c>
      <c r="V526" t="s">
        <v>7022</v>
      </c>
      <c r="W526" t="s">
        <v>7023</v>
      </c>
      <c r="X526" t="s">
        <v>74</v>
      </c>
      <c r="Y526" t="s">
        <v>7024</v>
      </c>
      <c r="Z526" t="s">
        <v>74</v>
      </c>
      <c r="AA526" t="s">
        <v>74</v>
      </c>
      <c r="AB526" t="s">
        <v>74</v>
      </c>
      <c r="AC526" t="s">
        <v>74</v>
      </c>
      <c r="AD526" t="s">
        <v>74</v>
      </c>
      <c r="AE526" t="s">
        <v>74</v>
      </c>
      <c r="AF526" t="s">
        <v>74</v>
      </c>
      <c r="AG526">
        <v>14</v>
      </c>
      <c r="AH526">
        <v>4</v>
      </c>
      <c r="AI526">
        <v>4</v>
      </c>
      <c r="AJ526">
        <v>0</v>
      </c>
      <c r="AK526">
        <v>1</v>
      </c>
      <c r="AL526" t="s">
        <v>7025</v>
      </c>
      <c r="AM526" t="s">
        <v>7026</v>
      </c>
      <c r="AN526" t="s">
        <v>7027</v>
      </c>
      <c r="AO526" t="s">
        <v>7028</v>
      </c>
      <c r="AP526" t="s">
        <v>7029</v>
      </c>
      <c r="AQ526" t="s">
        <v>74</v>
      </c>
      <c r="AR526" t="s">
        <v>7030</v>
      </c>
      <c r="AS526" t="s">
        <v>7031</v>
      </c>
      <c r="AT526" t="s">
        <v>6460</v>
      </c>
      <c r="AU526">
        <v>1999</v>
      </c>
      <c r="AV526">
        <v>30</v>
      </c>
      <c r="AW526">
        <v>2</v>
      </c>
      <c r="AX526" t="s">
        <v>74</v>
      </c>
      <c r="AY526" t="s">
        <v>74</v>
      </c>
      <c r="AZ526" t="s">
        <v>74</v>
      </c>
      <c r="BA526" t="s">
        <v>74</v>
      </c>
      <c r="BB526">
        <v>278</v>
      </c>
      <c r="BC526">
        <v>280</v>
      </c>
      <c r="BD526" t="s">
        <v>74</v>
      </c>
      <c r="BE526" t="s">
        <v>74</v>
      </c>
      <c r="BF526" t="s">
        <v>74</v>
      </c>
      <c r="BG526" t="s">
        <v>74</v>
      </c>
      <c r="BH526" t="s">
        <v>74</v>
      </c>
      <c r="BI526">
        <v>3</v>
      </c>
      <c r="BJ526" t="s">
        <v>7032</v>
      </c>
      <c r="BK526" t="s">
        <v>96</v>
      </c>
      <c r="BL526" t="s">
        <v>7032</v>
      </c>
      <c r="BM526" t="s">
        <v>7033</v>
      </c>
      <c r="BN526">
        <v>10484146</v>
      </c>
      <c r="BO526" t="s">
        <v>74</v>
      </c>
      <c r="BP526" t="s">
        <v>74</v>
      </c>
      <c r="BQ526" t="s">
        <v>74</v>
      </c>
      <c r="BR526" t="s">
        <v>99</v>
      </c>
      <c r="BS526" t="s">
        <v>7034</v>
      </c>
      <c r="BT526" t="str">
        <f>HYPERLINK("https%3A%2F%2Fwww.webofscience.com%2Fwos%2Fwoscc%2Ffull-record%2FWOS:000081607900013","View Full Record in Web of Science")</f>
        <v>View Full Record in Web of Science</v>
      </c>
    </row>
    <row r="527" spans="1:72" x14ac:dyDescent="0.15">
      <c r="A527" t="s">
        <v>72</v>
      </c>
      <c r="B527" t="s">
        <v>7035</v>
      </c>
      <c r="C527" t="s">
        <v>74</v>
      </c>
      <c r="D527" t="s">
        <v>74</v>
      </c>
      <c r="E527" t="s">
        <v>74</v>
      </c>
      <c r="F527" t="s">
        <v>7035</v>
      </c>
      <c r="G527" t="s">
        <v>74</v>
      </c>
      <c r="H527" t="s">
        <v>74</v>
      </c>
      <c r="I527" t="s">
        <v>7036</v>
      </c>
      <c r="J527" t="s">
        <v>7037</v>
      </c>
      <c r="K527" t="s">
        <v>74</v>
      </c>
      <c r="L527" t="s">
        <v>74</v>
      </c>
      <c r="M527" t="s">
        <v>77</v>
      </c>
      <c r="N527" t="s">
        <v>78</v>
      </c>
      <c r="O527" t="s">
        <v>74</v>
      </c>
      <c r="P527" t="s">
        <v>74</v>
      </c>
      <c r="Q527" t="s">
        <v>74</v>
      </c>
      <c r="R527" t="s">
        <v>74</v>
      </c>
      <c r="S527" t="s">
        <v>74</v>
      </c>
      <c r="T527" t="s">
        <v>7038</v>
      </c>
      <c r="U527" t="s">
        <v>74</v>
      </c>
      <c r="V527" t="s">
        <v>7039</v>
      </c>
      <c r="W527" t="s">
        <v>7040</v>
      </c>
      <c r="X527" t="s">
        <v>7041</v>
      </c>
      <c r="Y527" t="s">
        <v>7042</v>
      </c>
      <c r="Z527" t="s">
        <v>7043</v>
      </c>
      <c r="AA527" t="s">
        <v>74</v>
      </c>
      <c r="AB527" t="s">
        <v>74</v>
      </c>
      <c r="AC527" t="s">
        <v>74</v>
      </c>
      <c r="AD527" t="s">
        <v>74</v>
      </c>
      <c r="AE527" t="s">
        <v>74</v>
      </c>
      <c r="AF527" t="s">
        <v>74</v>
      </c>
      <c r="AG527">
        <v>25</v>
      </c>
      <c r="AH527">
        <v>20</v>
      </c>
      <c r="AI527">
        <v>20</v>
      </c>
      <c r="AJ527">
        <v>0</v>
      </c>
      <c r="AK527">
        <v>4</v>
      </c>
      <c r="AL527" t="s">
        <v>997</v>
      </c>
      <c r="AM527" t="s">
        <v>998</v>
      </c>
      <c r="AN527" t="s">
        <v>999</v>
      </c>
      <c r="AO527" t="s">
        <v>7044</v>
      </c>
      <c r="AP527" t="s">
        <v>7045</v>
      </c>
      <c r="AQ527" t="s">
        <v>74</v>
      </c>
      <c r="AR527" t="s">
        <v>7037</v>
      </c>
      <c r="AS527" t="s">
        <v>7046</v>
      </c>
      <c r="AT527" t="s">
        <v>6460</v>
      </c>
      <c r="AU527">
        <v>1999</v>
      </c>
      <c r="AV527">
        <v>32</v>
      </c>
      <c r="AW527">
        <v>2</v>
      </c>
      <c r="AX527" t="s">
        <v>74</v>
      </c>
      <c r="AY527" t="s">
        <v>74</v>
      </c>
      <c r="AZ527" t="s">
        <v>74</v>
      </c>
      <c r="BA527" t="s">
        <v>74</v>
      </c>
      <c r="BB527">
        <v>113</v>
      </c>
      <c r="BC527">
        <v>118</v>
      </c>
      <c r="BD527" t="s">
        <v>74</v>
      </c>
      <c r="BE527" t="s">
        <v>74</v>
      </c>
      <c r="BF527" t="s">
        <v>74</v>
      </c>
      <c r="BG527" t="s">
        <v>74</v>
      </c>
      <c r="BH527" t="s">
        <v>74</v>
      </c>
      <c r="BI527">
        <v>6</v>
      </c>
      <c r="BJ527" t="s">
        <v>1270</v>
      </c>
      <c r="BK527" t="s">
        <v>96</v>
      </c>
      <c r="BL527" t="s">
        <v>1270</v>
      </c>
      <c r="BM527" t="s">
        <v>7047</v>
      </c>
      <c r="BN527" t="s">
        <v>74</v>
      </c>
      <c r="BO527" t="s">
        <v>74</v>
      </c>
      <c r="BP527" t="s">
        <v>74</v>
      </c>
      <c r="BQ527" t="s">
        <v>74</v>
      </c>
      <c r="BR527" t="s">
        <v>99</v>
      </c>
      <c r="BS527" t="s">
        <v>7048</v>
      </c>
      <c r="BT527" t="str">
        <f>HYPERLINK("https%3A%2F%2Fwww.webofscience.com%2Fwos%2Fwoscc%2Ffull-record%2FWOS:000082463700004","View Full Record in Web of Science")</f>
        <v>View Full Record in Web of Science</v>
      </c>
    </row>
    <row r="528" spans="1:72" x14ac:dyDescent="0.15">
      <c r="A528" t="s">
        <v>72</v>
      </c>
      <c r="B528" t="s">
        <v>7049</v>
      </c>
      <c r="C528" t="s">
        <v>74</v>
      </c>
      <c r="D528" t="s">
        <v>74</v>
      </c>
      <c r="E528" t="s">
        <v>74</v>
      </c>
      <c r="F528" t="s">
        <v>7049</v>
      </c>
      <c r="G528" t="s">
        <v>74</v>
      </c>
      <c r="H528" t="s">
        <v>74</v>
      </c>
      <c r="I528" t="s">
        <v>7050</v>
      </c>
      <c r="J528" t="s">
        <v>1199</v>
      </c>
      <c r="K528" t="s">
        <v>74</v>
      </c>
      <c r="L528" t="s">
        <v>74</v>
      </c>
      <c r="M528" t="s">
        <v>77</v>
      </c>
      <c r="N528" t="s">
        <v>78</v>
      </c>
      <c r="O528" t="s">
        <v>74</v>
      </c>
      <c r="P528" t="s">
        <v>74</v>
      </c>
      <c r="Q528" t="s">
        <v>74</v>
      </c>
      <c r="R528" t="s">
        <v>74</v>
      </c>
      <c r="S528" t="s">
        <v>74</v>
      </c>
      <c r="T528" t="s">
        <v>74</v>
      </c>
      <c r="U528" t="s">
        <v>7051</v>
      </c>
      <c r="V528" t="s">
        <v>7052</v>
      </c>
      <c r="W528" t="s">
        <v>7053</v>
      </c>
      <c r="X528" t="s">
        <v>7054</v>
      </c>
      <c r="Y528" t="s">
        <v>7055</v>
      </c>
      <c r="Z528" t="s">
        <v>7056</v>
      </c>
      <c r="AA528" t="s">
        <v>74</v>
      </c>
      <c r="AB528" t="s">
        <v>74</v>
      </c>
      <c r="AC528" t="s">
        <v>74</v>
      </c>
      <c r="AD528" t="s">
        <v>74</v>
      </c>
      <c r="AE528" t="s">
        <v>74</v>
      </c>
      <c r="AF528" t="s">
        <v>74</v>
      </c>
      <c r="AG528">
        <v>61</v>
      </c>
      <c r="AH528">
        <v>18</v>
      </c>
      <c r="AI528">
        <v>20</v>
      </c>
      <c r="AJ528">
        <v>1</v>
      </c>
      <c r="AK528">
        <v>8</v>
      </c>
      <c r="AL528" t="s">
        <v>997</v>
      </c>
      <c r="AM528" t="s">
        <v>998</v>
      </c>
      <c r="AN528" t="s">
        <v>999</v>
      </c>
      <c r="AO528" t="s">
        <v>1207</v>
      </c>
      <c r="AP528" t="s">
        <v>1208</v>
      </c>
      <c r="AQ528" t="s">
        <v>74</v>
      </c>
      <c r="AR528" t="s">
        <v>1209</v>
      </c>
      <c r="AS528" t="s">
        <v>1210</v>
      </c>
      <c r="AT528" t="s">
        <v>6460</v>
      </c>
      <c r="AU528">
        <v>1999</v>
      </c>
      <c r="AV528">
        <v>44</v>
      </c>
      <c r="AW528">
        <v>4</v>
      </c>
      <c r="AX528" t="s">
        <v>74</v>
      </c>
      <c r="AY528" t="s">
        <v>74</v>
      </c>
      <c r="AZ528" t="s">
        <v>74</v>
      </c>
      <c r="BA528" t="s">
        <v>74</v>
      </c>
      <c r="BB528">
        <v>1120</v>
      </c>
      <c r="BC528">
        <v>1131</v>
      </c>
      <c r="BD528" t="s">
        <v>74</v>
      </c>
      <c r="BE528" t="s">
        <v>7057</v>
      </c>
      <c r="BF528" t="str">
        <f>HYPERLINK("http://dx.doi.org/10.4319/lo.1999.44.4.1120","http://dx.doi.org/10.4319/lo.1999.44.4.1120")</f>
        <v>http://dx.doi.org/10.4319/lo.1999.44.4.1120</v>
      </c>
      <c r="BG528" t="s">
        <v>74</v>
      </c>
      <c r="BH528" t="s">
        <v>74</v>
      </c>
      <c r="BI528">
        <v>12</v>
      </c>
      <c r="BJ528" t="s">
        <v>1212</v>
      </c>
      <c r="BK528" t="s">
        <v>96</v>
      </c>
      <c r="BL528" t="s">
        <v>1136</v>
      </c>
      <c r="BM528" t="s">
        <v>7058</v>
      </c>
      <c r="BN528" t="s">
        <v>74</v>
      </c>
      <c r="BO528" t="s">
        <v>250</v>
      </c>
      <c r="BP528" t="s">
        <v>74</v>
      </c>
      <c r="BQ528" t="s">
        <v>74</v>
      </c>
      <c r="BR528" t="s">
        <v>99</v>
      </c>
      <c r="BS528" t="s">
        <v>7059</v>
      </c>
      <c r="BT528" t="str">
        <f>HYPERLINK("https%3A%2F%2Fwww.webofscience.com%2Fwos%2Fwoscc%2Ffull-record%2FWOS:000082148200014","View Full Record in Web of Science")</f>
        <v>View Full Record in Web of Science</v>
      </c>
    </row>
    <row r="529" spans="1:72" x14ac:dyDescent="0.15">
      <c r="A529" t="s">
        <v>72</v>
      </c>
      <c r="B529" t="s">
        <v>7060</v>
      </c>
      <c r="C529" t="s">
        <v>74</v>
      </c>
      <c r="D529" t="s">
        <v>74</v>
      </c>
      <c r="E529" t="s">
        <v>74</v>
      </c>
      <c r="F529" t="s">
        <v>7060</v>
      </c>
      <c r="G529" t="s">
        <v>74</v>
      </c>
      <c r="H529" t="s">
        <v>74</v>
      </c>
      <c r="I529" t="s">
        <v>7061</v>
      </c>
      <c r="J529" t="s">
        <v>1218</v>
      </c>
      <c r="K529" t="s">
        <v>74</v>
      </c>
      <c r="L529" t="s">
        <v>74</v>
      </c>
      <c r="M529" t="s">
        <v>77</v>
      </c>
      <c r="N529" t="s">
        <v>78</v>
      </c>
      <c r="O529" t="s">
        <v>74</v>
      </c>
      <c r="P529" t="s">
        <v>74</v>
      </c>
      <c r="Q529" t="s">
        <v>74</v>
      </c>
      <c r="R529" t="s">
        <v>74</v>
      </c>
      <c r="S529" t="s">
        <v>74</v>
      </c>
      <c r="T529" t="s">
        <v>74</v>
      </c>
      <c r="U529" t="s">
        <v>7062</v>
      </c>
      <c r="V529" t="s">
        <v>7063</v>
      </c>
      <c r="W529" t="s">
        <v>7064</v>
      </c>
      <c r="X529" t="s">
        <v>7065</v>
      </c>
      <c r="Y529" t="s">
        <v>7066</v>
      </c>
      <c r="Z529" t="s">
        <v>74</v>
      </c>
      <c r="AA529" t="s">
        <v>7067</v>
      </c>
      <c r="AB529" t="s">
        <v>7068</v>
      </c>
      <c r="AC529" t="s">
        <v>74</v>
      </c>
      <c r="AD529" t="s">
        <v>74</v>
      </c>
      <c r="AE529" t="s">
        <v>74</v>
      </c>
      <c r="AF529" t="s">
        <v>74</v>
      </c>
      <c r="AG529">
        <v>23</v>
      </c>
      <c r="AH529">
        <v>10</v>
      </c>
      <c r="AI529">
        <v>11</v>
      </c>
      <c r="AJ529">
        <v>0</v>
      </c>
      <c r="AK529">
        <v>6</v>
      </c>
      <c r="AL529" t="s">
        <v>553</v>
      </c>
      <c r="AM529" t="s">
        <v>554</v>
      </c>
      <c r="AN529" t="s">
        <v>555</v>
      </c>
      <c r="AO529" t="s">
        <v>1225</v>
      </c>
      <c r="AP529" t="s">
        <v>74</v>
      </c>
      <c r="AQ529" t="s">
        <v>74</v>
      </c>
      <c r="AR529" t="s">
        <v>1226</v>
      </c>
      <c r="AS529" t="s">
        <v>1227</v>
      </c>
      <c r="AT529" t="s">
        <v>6460</v>
      </c>
      <c r="AU529">
        <v>1999</v>
      </c>
      <c r="AV529">
        <v>134</v>
      </c>
      <c r="AW529">
        <v>1</v>
      </c>
      <c r="AX529" t="s">
        <v>74</v>
      </c>
      <c r="AY529" t="s">
        <v>74</v>
      </c>
      <c r="AZ529" t="s">
        <v>74</v>
      </c>
      <c r="BA529" t="s">
        <v>74</v>
      </c>
      <c r="BB529">
        <v>99</v>
      </c>
      <c r="BC529">
        <v>106</v>
      </c>
      <c r="BD529" t="s">
        <v>74</v>
      </c>
      <c r="BE529" t="s">
        <v>7069</v>
      </c>
      <c r="BF529" t="str">
        <f>HYPERLINK("http://dx.doi.org/10.1007/s002270050528","http://dx.doi.org/10.1007/s002270050528")</f>
        <v>http://dx.doi.org/10.1007/s002270050528</v>
      </c>
      <c r="BG529" t="s">
        <v>74</v>
      </c>
      <c r="BH529" t="s">
        <v>74</v>
      </c>
      <c r="BI529">
        <v>8</v>
      </c>
      <c r="BJ529" t="s">
        <v>1229</v>
      </c>
      <c r="BK529" t="s">
        <v>96</v>
      </c>
      <c r="BL529" t="s">
        <v>1229</v>
      </c>
      <c r="BM529" t="s">
        <v>7070</v>
      </c>
      <c r="BN529" t="s">
        <v>74</v>
      </c>
      <c r="BO529" t="s">
        <v>74</v>
      </c>
      <c r="BP529" t="s">
        <v>74</v>
      </c>
      <c r="BQ529" t="s">
        <v>74</v>
      </c>
      <c r="BR529" t="s">
        <v>99</v>
      </c>
      <c r="BS529" t="s">
        <v>7071</v>
      </c>
      <c r="BT529" t="str">
        <f>HYPERLINK("https%3A%2F%2Fwww.webofscience.com%2Fwos%2Fwoscc%2Ffull-record%2FWOS:000081117300010","View Full Record in Web of Science")</f>
        <v>View Full Record in Web of Science</v>
      </c>
    </row>
    <row r="530" spans="1:72" x14ac:dyDescent="0.15">
      <c r="A530" t="s">
        <v>72</v>
      </c>
      <c r="B530" t="s">
        <v>7072</v>
      </c>
      <c r="C530" t="s">
        <v>74</v>
      </c>
      <c r="D530" t="s">
        <v>74</v>
      </c>
      <c r="E530" t="s">
        <v>74</v>
      </c>
      <c r="F530" t="s">
        <v>7072</v>
      </c>
      <c r="G530" t="s">
        <v>74</v>
      </c>
      <c r="H530" t="s">
        <v>74</v>
      </c>
      <c r="I530" t="s">
        <v>7073</v>
      </c>
      <c r="J530" t="s">
        <v>2338</v>
      </c>
      <c r="K530" t="s">
        <v>74</v>
      </c>
      <c r="L530" t="s">
        <v>74</v>
      </c>
      <c r="M530" t="s">
        <v>77</v>
      </c>
      <c r="N530" t="s">
        <v>78</v>
      </c>
      <c r="O530" t="s">
        <v>74</v>
      </c>
      <c r="P530" t="s">
        <v>74</v>
      </c>
      <c r="Q530" t="s">
        <v>74</v>
      </c>
      <c r="R530" t="s">
        <v>74</v>
      </c>
      <c r="S530" t="s">
        <v>74</v>
      </c>
      <c r="T530" t="s">
        <v>7074</v>
      </c>
      <c r="U530" t="s">
        <v>7075</v>
      </c>
      <c r="V530" t="s">
        <v>7076</v>
      </c>
      <c r="W530" t="s">
        <v>1697</v>
      </c>
      <c r="X530" t="s">
        <v>1222</v>
      </c>
      <c r="Y530" t="s">
        <v>7077</v>
      </c>
      <c r="Z530" t="s">
        <v>74</v>
      </c>
      <c r="AA530" t="s">
        <v>74</v>
      </c>
      <c r="AB530" t="s">
        <v>7078</v>
      </c>
      <c r="AC530" t="s">
        <v>74</v>
      </c>
      <c r="AD530" t="s">
        <v>74</v>
      </c>
      <c r="AE530" t="s">
        <v>74</v>
      </c>
      <c r="AF530" t="s">
        <v>74</v>
      </c>
      <c r="AG530">
        <v>70</v>
      </c>
      <c r="AH530">
        <v>86</v>
      </c>
      <c r="AI530">
        <v>104</v>
      </c>
      <c r="AJ530">
        <v>1</v>
      </c>
      <c r="AK530">
        <v>16</v>
      </c>
      <c r="AL530" t="s">
        <v>210</v>
      </c>
      <c r="AM530" t="s">
        <v>211</v>
      </c>
      <c r="AN530" t="s">
        <v>212</v>
      </c>
      <c r="AO530" t="s">
        <v>2349</v>
      </c>
      <c r="AP530" t="s">
        <v>74</v>
      </c>
      <c r="AQ530" t="s">
        <v>74</v>
      </c>
      <c r="AR530" t="s">
        <v>2351</v>
      </c>
      <c r="AS530" t="s">
        <v>2352</v>
      </c>
      <c r="AT530" t="s">
        <v>6460</v>
      </c>
      <c r="AU530">
        <v>1999</v>
      </c>
      <c r="AV530">
        <v>158</v>
      </c>
      <c r="AW530" t="s">
        <v>2149</v>
      </c>
      <c r="AX530" t="s">
        <v>74</v>
      </c>
      <c r="AY530" t="s">
        <v>74</v>
      </c>
      <c r="AZ530" t="s">
        <v>74</v>
      </c>
      <c r="BA530" t="s">
        <v>74</v>
      </c>
      <c r="BB530">
        <v>209</v>
      </c>
      <c r="BC530">
        <v>231</v>
      </c>
      <c r="BD530" t="s">
        <v>74</v>
      </c>
      <c r="BE530" t="s">
        <v>7079</v>
      </c>
      <c r="BF530" t="str">
        <f>HYPERLINK("http://dx.doi.org/10.1016/S0025-3227(98)00165-0","http://dx.doi.org/10.1016/S0025-3227(98)00165-0")</f>
        <v>http://dx.doi.org/10.1016/S0025-3227(98)00165-0</v>
      </c>
      <c r="BG530" t="s">
        <v>74</v>
      </c>
      <c r="BH530" t="s">
        <v>74</v>
      </c>
      <c r="BI530">
        <v>23</v>
      </c>
      <c r="BJ530" t="s">
        <v>2355</v>
      </c>
      <c r="BK530" t="s">
        <v>96</v>
      </c>
      <c r="BL530" t="s">
        <v>2356</v>
      </c>
      <c r="BM530" t="s">
        <v>7080</v>
      </c>
      <c r="BN530" t="s">
        <v>74</v>
      </c>
      <c r="BO530" t="s">
        <v>74</v>
      </c>
      <c r="BP530" t="s">
        <v>74</v>
      </c>
      <c r="BQ530" t="s">
        <v>74</v>
      </c>
      <c r="BR530" t="s">
        <v>99</v>
      </c>
      <c r="BS530" t="s">
        <v>7081</v>
      </c>
      <c r="BT530" t="str">
        <f>HYPERLINK("https%3A%2F%2Fwww.webofscience.com%2Fwos%2Fwoscc%2Ffull-record%2FWOS:000080242500013","View Full Record in Web of Science")</f>
        <v>View Full Record in Web of Science</v>
      </c>
    </row>
    <row r="531" spans="1:72" x14ac:dyDescent="0.15">
      <c r="A531" t="s">
        <v>72</v>
      </c>
      <c r="B531" t="s">
        <v>7082</v>
      </c>
      <c r="C531" t="s">
        <v>74</v>
      </c>
      <c r="D531" t="s">
        <v>74</v>
      </c>
      <c r="E531" t="s">
        <v>74</v>
      </c>
      <c r="F531" t="s">
        <v>7082</v>
      </c>
      <c r="G531" t="s">
        <v>74</v>
      </c>
      <c r="H531" t="s">
        <v>74</v>
      </c>
      <c r="I531" t="s">
        <v>7083</v>
      </c>
      <c r="J531" t="s">
        <v>7084</v>
      </c>
      <c r="K531" t="s">
        <v>74</v>
      </c>
      <c r="L531" t="s">
        <v>74</v>
      </c>
      <c r="M531" t="s">
        <v>77</v>
      </c>
      <c r="N531" t="s">
        <v>78</v>
      </c>
      <c r="O531" t="s">
        <v>74</v>
      </c>
      <c r="P531" t="s">
        <v>74</v>
      </c>
      <c r="Q531" t="s">
        <v>74</v>
      </c>
      <c r="R531" t="s">
        <v>74</v>
      </c>
      <c r="S531" t="s">
        <v>74</v>
      </c>
      <c r="T531" t="s">
        <v>74</v>
      </c>
      <c r="U531" t="s">
        <v>7085</v>
      </c>
      <c r="V531" t="s">
        <v>7086</v>
      </c>
      <c r="W531" t="s">
        <v>7087</v>
      </c>
      <c r="X531" t="s">
        <v>7088</v>
      </c>
      <c r="Y531" t="s">
        <v>7089</v>
      </c>
      <c r="Z531" t="s">
        <v>74</v>
      </c>
      <c r="AA531" t="s">
        <v>74</v>
      </c>
      <c r="AB531" t="s">
        <v>7090</v>
      </c>
      <c r="AC531" t="s">
        <v>74</v>
      </c>
      <c r="AD531" t="s">
        <v>74</v>
      </c>
      <c r="AE531" t="s">
        <v>74</v>
      </c>
      <c r="AF531" t="s">
        <v>74</v>
      </c>
      <c r="AG531">
        <v>35</v>
      </c>
      <c r="AH531">
        <v>26</v>
      </c>
      <c r="AI531">
        <v>27</v>
      </c>
      <c r="AJ531">
        <v>0</v>
      </c>
      <c r="AK531">
        <v>3</v>
      </c>
      <c r="AL531" t="s">
        <v>2057</v>
      </c>
      <c r="AM531" t="s">
        <v>554</v>
      </c>
      <c r="AN531" t="s">
        <v>2058</v>
      </c>
      <c r="AO531" t="s">
        <v>7091</v>
      </c>
      <c r="AP531" t="s">
        <v>74</v>
      </c>
      <c r="AQ531" t="s">
        <v>74</v>
      </c>
      <c r="AR531" t="s">
        <v>7092</v>
      </c>
      <c r="AS531" t="s">
        <v>7093</v>
      </c>
      <c r="AT531" t="s">
        <v>6460</v>
      </c>
      <c r="AU531">
        <v>1999</v>
      </c>
      <c r="AV531">
        <v>6</v>
      </c>
      <c r="AW531">
        <v>2</v>
      </c>
      <c r="AX531" t="s">
        <v>74</v>
      </c>
      <c r="AY531" t="s">
        <v>74</v>
      </c>
      <c r="AZ531" t="s">
        <v>74</v>
      </c>
      <c r="BA531" t="s">
        <v>74</v>
      </c>
      <c r="BB531">
        <v>173</v>
      </c>
      <c r="BC531">
        <v>183</v>
      </c>
      <c r="BD531" t="s">
        <v>74</v>
      </c>
      <c r="BE531" t="s">
        <v>7094</v>
      </c>
      <c r="BF531" t="str">
        <f>HYPERLINK("http://dx.doi.org/10.1017/S135048279900119X","http://dx.doi.org/10.1017/S135048279900119X")</f>
        <v>http://dx.doi.org/10.1017/S135048279900119X</v>
      </c>
      <c r="BG531" t="s">
        <v>74</v>
      </c>
      <c r="BH531" t="s">
        <v>74</v>
      </c>
      <c r="BI531">
        <v>11</v>
      </c>
      <c r="BJ531" t="s">
        <v>95</v>
      </c>
      <c r="BK531" t="s">
        <v>96</v>
      </c>
      <c r="BL531" t="s">
        <v>95</v>
      </c>
      <c r="BM531" t="s">
        <v>7095</v>
      </c>
      <c r="BN531" t="s">
        <v>74</v>
      </c>
      <c r="BO531" t="s">
        <v>250</v>
      </c>
      <c r="BP531" t="s">
        <v>74</v>
      </c>
      <c r="BQ531" t="s">
        <v>74</v>
      </c>
      <c r="BR531" t="s">
        <v>99</v>
      </c>
      <c r="BS531" t="s">
        <v>7096</v>
      </c>
      <c r="BT531" t="str">
        <f>HYPERLINK("https%3A%2F%2Fwww.webofscience.com%2Fwos%2Fwoscc%2Ffull-record%2FWOS:000081206400008","View Full Record in Web of Science")</f>
        <v>View Full Record in Web of Science</v>
      </c>
    </row>
    <row r="532" spans="1:72" x14ac:dyDescent="0.15">
      <c r="A532" t="s">
        <v>72</v>
      </c>
      <c r="B532" t="s">
        <v>7097</v>
      </c>
      <c r="C532" t="s">
        <v>74</v>
      </c>
      <c r="D532" t="s">
        <v>74</v>
      </c>
      <c r="E532" t="s">
        <v>74</v>
      </c>
      <c r="F532" t="s">
        <v>7097</v>
      </c>
      <c r="G532" t="s">
        <v>74</v>
      </c>
      <c r="H532" t="s">
        <v>74</v>
      </c>
      <c r="I532" t="s">
        <v>7098</v>
      </c>
      <c r="J532" t="s">
        <v>7099</v>
      </c>
      <c r="K532" t="s">
        <v>74</v>
      </c>
      <c r="L532" t="s">
        <v>74</v>
      </c>
      <c r="M532" t="s">
        <v>77</v>
      </c>
      <c r="N532" t="s">
        <v>78</v>
      </c>
      <c r="O532" t="s">
        <v>74</v>
      </c>
      <c r="P532" t="s">
        <v>74</v>
      </c>
      <c r="Q532" t="s">
        <v>74</v>
      </c>
      <c r="R532" t="s">
        <v>74</v>
      </c>
      <c r="S532" t="s">
        <v>74</v>
      </c>
      <c r="T532" t="s">
        <v>7100</v>
      </c>
      <c r="U532" t="s">
        <v>7101</v>
      </c>
      <c r="V532" t="s">
        <v>7102</v>
      </c>
      <c r="W532" t="s">
        <v>7103</v>
      </c>
      <c r="X532" t="s">
        <v>7104</v>
      </c>
      <c r="Y532" t="s">
        <v>7105</v>
      </c>
      <c r="Z532" t="s">
        <v>74</v>
      </c>
      <c r="AA532" t="s">
        <v>7106</v>
      </c>
      <c r="AB532" t="s">
        <v>7107</v>
      </c>
      <c r="AC532" t="s">
        <v>74</v>
      </c>
      <c r="AD532" t="s">
        <v>74</v>
      </c>
      <c r="AE532" t="s">
        <v>74</v>
      </c>
      <c r="AF532" t="s">
        <v>74</v>
      </c>
      <c r="AG532">
        <v>32</v>
      </c>
      <c r="AH532">
        <v>27</v>
      </c>
      <c r="AI532">
        <v>34</v>
      </c>
      <c r="AJ532">
        <v>0</v>
      </c>
      <c r="AK532">
        <v>3</v>
      </c>
      <c r="AL532" t="s">
        <v>7108</v>
      </c>
      <c r="AM532" t="s">
        <v>7109</v>
      </c>
      <c r="AN532" t="s">
        <v>7110</v>
      </c>
      <c r="AO532" t="s">
        <v>7111</v>
      </c>
      <c r="AP532" t="s">
        <v>74</v>
      </c>
      <c r="AQ532" t="s">
        <v>74</v>
      </c>
      <c r="AR532" t="s">
        <v>7112</v>
      </c>
      <c r="AS532" t="s">
        <v>7113</v>
      </c>
      <c r="AT532" t="s">
        <v>6460</v>
      </c>
      <c r="AU532">
        <v>1999</v>
      </c>
      <c r="AV532">
        <v>37</v>
      </c>
      <c r="AW532">
        <v>2</v>
      </c>
      <c r="AX532" t="s">
        <v>74</v>
      </c>
      <c r="AY532" t="s">
        <v>74</v>
      </c>
      <c r="AZ532" t="s">
        <v>74</v>
      </c>
      <c r="BA532" t="s">
        <v>74</v>
      </c>
      <c r="BB532">
        <v>205</v>
      </c>
      <c r="BC532">
        <v>211</v>
      </c>
      <c r="BD532" t="s">
        <v>74</v>
      </c>
      <c r="BE532" t="s">
        <v>74</v>
      </c>
      <c r="BF532" t="s">
        <v>74</v>
      </c>
      <c r="BG532" t="s">
        <v>74</v>
      </c>
      <c r="BH532" t="s">
        <v>74</v>
      </c>
      <c r="BI532">
        <v>7</v>
      </c>
      <c r="BJ532" t="s">
        <v>5977</v>
      </c>
      <c r="BK532" t="s">
        <v>96</v>
      </c>
      <c r="BL532" t="s">
        <v>5977</v>
      </c>
      <c r="BM532" t="s">
        <v>7114</v>
      </c>
      <c r="BN532" t="s">
        <v>74</v>
      </c>
      <c r="BO532" t="s">
        <v>74</v>
      </c>
      <c r="BP532" t="s">
        <v>74</v>
      </c>
      <c r="BQ532" t="s">
        <v>74</v>
      </c>
      <c r="BR532" t="s">
        <v>99</v>
      </c>
      <c r="BS532" t="s">
        <v>7115</v>
      </c>
      <c r="BT532" t="str">
        <f>HYPERLINK("https%3A%2F%2Fwww.webofscience.com%2Fwos%2Fwoscc%2Ffull-record%2FWOS:000083586000003","View Full Record in Web of Science")</f>
        <v>View Full Record in Web of Science</v>
      </c>
    </row>
    <row r="533" spans="1:72" x14ac:dyDescent="0.15">
      <c r="A533" t="s">
        <v>72</v>
      </c>
      <c r="B533" t="s">
        <v>7116</v>
      </c>
      <c r="C533" t="s">
        <v>74</v>
      </c>
      <c r="D533" t="s">
        <v>74</v>
      </c>
      <c r="E533" t="s">
        <v>74</v>
      </c>
      <c r="F533" t="s">
        <v>7116</v>
      </c>
      <c r="G533" t="s">
        <v>74</v>
      </c>
      <c r="H533" t="s">
        <v>74</v>
      </c>
      <c r="I533" t="s">
        <v>7117</v>
      </c>
      <c r="J533" t="s">
        <v>1308</v>
      </c>
      <c r="K533" t="s">
        <v>74</v>
      </c>
      <c r="L533" t="s">
        <v>74</v>
      </c>
      <c r="M533" t="s">
        <v>77</v>
      </c>
      <c r="N533" t="s">
        <v>78</v>
      </c>
      <c r="O533" t="s">
        <v>74</v>
      </c>
      <c r="P533" t="s">
        <v>74</v>
      </c>
      <c r="Q533" t="s">
        <v>74</v>
      </c>
      <c r="R533" t="s">
        <v>74</v>
      </c>
      <c r="S533" t="s">
        <v>74</v>
      </c>
      <c r="T533" t="s">
        <v>7118</v>
      </c>
      <c r="U533" t="s">
        <v>74</v>
      </c>
      <c r="V533" t="s">
        <v>7119</v>
      </c>
      <c r="W533" t="s">
        <v>7120</v>
      </c>
      <c r="X533" t="s">
        <v>7121</v>
      </c>
      <c r="Y533" t="s">
        <v>7122</v>
      </c>
      <c r="Z533" t="s">
        <v>74</v>
      </c>
      <c r="AA533" t="s">
        <v>74</v>
      </c>
      <c r="AB533" t="s">
        <v>74</v>
      </c>
      <c r="AC533" t="s">
        <v>74</v>
      </c>
      <c r="AD533" t="s">
        <v>74</v>
      </c>
      <c r="AE533" t="s">
        <v>74</v>
      </c>
      <c r="AF533" t="s">
        <v>74</v>
      </c>
      <c r="AG533">
        <v>3</v>
      </c>
      <c r="AH533">
        <v>3</v>
      </c>
      <c r="AI533">
        <v>3</v>
      </c>
      <c r="AJ533">
        <v>0</v>
      </c>
      <c r="AK533">
        <v>5</v>
      </c>
      <c r="AL533" t="s">
        <v>553</v>
      </c>
      <c r="AM533" t="s">
        <v>554</v>
      </c>
      <c r="AN533" t="s">
        <v>555</v>
      </c>
      <c r="AO533" t="s">
        <v>1317</v>
      </c>
      <c r="AP533" t="s">
        <v>74</v>
      </c>
      <c r="AQ533" t="s">
        <v>74</v>
      </c>
      <c r="AR533" t="s">
        <v>1308</v>
      </c>
      <c r="AS533" t="s">
        <v>1318</v>
      </c>
      <c r="AT533" t="s">
        <v>6460</v>
      </c>
      <c r="AU533">
        <v>1999</v>
      </c>
      <c r="AV533">
        <v>119</v>
      </c>
      <c r="AW533">
        <v>4</v>
      </c>
      <c r="AX533" t="s">
        <v>74</v>
      </c>
      <c r="AY533" t="s">
        <v>74</v>
      </c>
      <c r="AZ533" t="s">
        <v>74</v>
      </c>
      <c r="BA533" t="s">
        <v>74</v>
      </c>
      <c r="BB533">
        <v>552</v>
      </c>
      <c r="BC533">
        <v>556</v>
      </c>
      <c r="BD533" t="s">
        <v>74</v>
      </c>
      <c r="BE533" t="s">
        <v>7123</v>
      </c>
      <c r="BF533" t="str">
        <f>HYPERLINK("http://dx.doi.org/10.1007/s004420050818","http://dx.doi.org/10.1007/s004420050818")</f>
        <v>http://dx.doi.org/10.1007/s004420050818</v>
      </c>
      <c r="BG533" t="s">
        <v>74</v>
      </c>
      <c r="BH533" t="s">
        <v>74</v>
      </c>
      <c r="BI533">
        <v>5</v>
      </c>
      <c r="BJ533" t="s">
        <v>868</v>
      </c>
      <c r="BK533" t="s">
        <v>96</v>
      </c>
      <c r="BL533" t="s">
        <v>761</v>
      </c>
      <c r="BM533" t="s">
        <v>7124</v>
      </c>
      <c r="BN533">
        <v>28307713</v>
      </c>
      <c r="BO533" t="s">
        <v>74</v>
      </c>
      <c r="BP533" t="s">
        <v>74</v>
      </c>
      <c r="BQ533" t="s">
        <v>74</v>
      </c>
      <c r="BR533" t="s">
        <v>99</v>
      </c>
      <c r="BS533" t="s">
        <v>7125</v>
      </c>
      <c r="BT533" t="str">
        <f>HYPERLINK("https%3A%2F%2Fwww.webofscience.com%2Fwos%2Fwoscc%2Ffull-record%2FWOS:000081128300010","View Full Record in Web of Science")</f>
        <v>View Full Record in Web of Science</v>
      </c>
    </row>
    <row r="534" spans="1:72" x14ac:dyDescent="0.15">
      <c r="A534" t="s">
        <v>72</v>
      </c>
      <c r="B534" t="s">
        <v>7126</v>
      </c>
      <c r="C534" t="s">
        <v>74</v>
      </c>
      <c r="D534" t="s">
        <v>74</v>
      </c>
      <c r="E534" t="s">
        <v>74</v>
      </c>
      <c r="F534" t="s">
        <v>7126</v>
      </c>
      <c r="G534" t="s">
        <v>74</v>
      </c>
      <c r="H534" t="s">
        <v>74</v>
      </c>
      <c r="I534" t="s">
        <v>7127</v>
      </c>
      <c r="J534" t="s">
        <v>7128</v>
      </c>
      <c r="K534" t="s">
        <v>74</v>
      </c>
      <c r="L534" t="s">
        <v>74</v>
      </c>
      <c r="M534" t="s">
        <v>77</v>
      </c>
      <c r="N534" t="s">
        <v>254</v>
      </c>
      <c r="O534" t="s">
        <v>74</v>
      </c>
      <c r="P534" t="s">
        <v>74</v>
      </c>
      <c r="Q534" t="s">
        <v>74</v>
      </c>
      <c r="R534" t="s">
        <v>74</v>
      </c>
      <c r="S534" t="s">
        <v>74</v>
      </c>
      <c r="T534" t="s">
        <v>74</v>
      </c>
      <c r="U534" t="s">
        <v>7129</v>
      </c>
      <c r="V534" t="s">
        <v>7130</v>
      </c>
      <c r="W534" t="s">
        <v>7131</v>
      </c>
      <c r="X534" t="s">
        <v>7132</v>
      </c>
      <c r="Y534" t="s">
        <v>7133</v>
      </c>
      <c r="Z534" t="s">
        <v>74</v>
      </c>
      <c r="AA534" t="s">
        <v>7134</v>
      </c>
      <c r="AB534" t="s">
        <v>7135</v>
      </c>
      <c r="AC534" t="s">
        <v>74</v>
      </c>
      <c r="AD534" t="s">
        <v>74</v>
      </c>
      <c r="AE534" t="s">
        <v>74</v>
      </c>
      <c r="AF534" t="s">
        <v>74</v>
      </c>
      <c r="AG534">
        <v>123</v>
      </c>
      <c r="AH534">
        <v>344</v>
      </c>
      <c r="AI534">
        <v>395</v>
      </c>
      <c r="AJ534">
        <v>2</v>
      </c>
      <c r="AK534">
        <v>86</v>
      </c>
      <c r="AL534" t="s">
        <v>230</v>
      </c>
      <c r="AM534" t="s">
        <v>231</v>
      </c>
      <c r="AN534" t="s">
        <v>232</v>
      </c>
      <c r="AO534" t="s">
        <v>7136</v>
      </c>
      <c r="AP534" t="s">
        <v>74</v>
      </c>
      <c r="AQ534" t="s">
        <v>74</v>
      </c>
      <c r="AR534" t="s">
        <v>7128</v>
      </c>
      <c r="AS534" t="s">
        <v>7137</v>
      </c>
      <c r="AT534" t="s">
        <v>6460</v>
      </c>
      <c r="AU534">
        <v>1999</v>
      </c>
      <c r="AV534">
        <v>14</v>
      </c>
      <c r="AW534">
        <v>3</v>
      </c>
      <c r="AX534" t="s">
        <v>74</v>
      </c>
      <c r="AY534" t="s">
        <v>74</v>
      </c>
      <c r="AZ534" t="s">
        <v>74</v>
      </c>
      <c r="BA534" t="s">
        <v>74</v>
      </c>
      <c r="BB534">
        <v>273</v>
      </c>
      <c r="BC534">
        <v>292</v>
      </c>
      <c r="BD534" t="s">
        <v>74</v>
      </c>
      <c r="BE534" t="s">
        <v>7138</v>
      </c>
      <c r="BF534" t="str">
        <f>HYPERLINK("http://dx.doi.org/10.1029/1999PA900006","http://dx.doi.org/10.1029/1999PA900006")</f>
        <v>http://dx.doi.org/10.1029/1999PA900006</v>
      </c>
      <c r="BG534" t="s">
        <v>74</v>
      </c>
      <c r="BH534" t="s">
        <v>74</v>
      </c>
      <c r="BI534">
        <v>20</v>
      </c>
      <c r="BJ534" t="s">
        <v>7139</v>
      </c>
      <c r="BK534" t="s">
        <v>96</v>
      </c>
      <c r="BL534" t="s">
        <v>7140</v>
      </c>
      <c r="BM534" t="s">
        <v>7141</v>
      </c>
      <c r="BN534" t="s">
        <v>74</v>
      </c>
      <c r="BO534" t="s">
        <v>250</v>
      </c>
      <c r="BP534" t="s">
        <v>74</v>
      </c>
      <c r="BQ534" t="s">
        <v>74</v>
      </c>
      <c r="BR534" t="s">
        <v>99</v>
      </c>
      <c r="BS534" t="s">
        <v>7142</v>
      </c>
      <c r="BT534" t="str">
        <f>HYPERLINK("https%3A%2F%2Fwww.webofscience.com%2Fwos%2Fwoscc%2Ffull-record%2FWOS:000080448700002","View Full Record in Web of Science")</f>
        <v>View Full Record in Web of Science</v>
      </c>
    </row>
    <row r="535" spans="1:72" x14ac:dyDescent="0.15">
      <c r="A535" t="s">
        <v>72</v>
      </c>
      <c r="B535" t="s">
        <v>7143</v>
      </c>
      <c r="C535" t="s">
        <v>74</v>
      </c>
      <c r="D535" t="s">
        <v>74</v>
      </c>
      <c r="E535" t="s">
        <v>74</v>
      </c>
      <c r="F535" t="s">
        <v>7143</v>
      </c>
      <c r="G535" t="s">
        <v>74</v>
      </c>
      <c r="H535" t="s">
        <v>74</v>
      </c>
      <c r="I535" t="s">
        <v>7144</v>
      </c>
      <c r="J535" t="s">
        <v>7145</v>
      </c>
      <c r="K535" t="s">
        <v>74</v>
      </c>
      <c r="L535" t="s">
        <v>74</v>
      </c>
      <c r="M535" t="s">
        <v>77</v>
      </c>
      <c r="N535" t="s">
        <v>52</v>
      </c>
      <c r="O535" t="s">
        <v>74</v>
      </c>
      <c r="P535" t="s">
        <v>74</v>
      </c>
      <c r="Q535" t="s">
        <v>74</v>
      </c>
      <c r="R535" t="s">
        <v>74</v>
      </c>
      <c r="S535" t="s">
        <v>74</v>
      </c>
      <c r="T535" t="s">
        <v>74</v>
      </c>
      <c r="U535" t="s">
        <v>74</v>
      </c>
      <c r="V535" t="s">
        <v>74</v>
      </c>
      <c r="W535" t="s">
        <v>7146</v>
      </c>
      <c r="X535" t="s">
        <v>7147</v>
      </c>
      <c r="Y535" t="s">
        <v>74</v>
      </c>
      <c r="Z535" t="s">
        <v>74</v>
      </c>
      <c r="AA535" t="s">
        <v>7148</v>
      </c>
      <c r="AB535" t="s">
        <v>74</v>
      </c>
      <c r="AC535" t="s">
        <v>74</v>
      </c>
      <c r="AD535" t="s">
        <v>74</v>
      </c>
      <c r="AE535" t="s">
        <v>74</v>
      </c>
      <c r="AF535" t="s">
        <v>74</v>
      </c>
      <c r="AG535">
        <v>0</v>
      </c>
      <c r="AH535">
        <v>1</v>
      </c>
      <c r="AI535">
        <v>1</v>
      </c>
      <c r="AJ535">
        <v>0</v>
      </c>
      <c r="AK535">
        <v>0</v>
      </c>
      <c r="AL535" t="s">
        <v>7149</v>
      </c>
      <c r="AM535" t="s">
        <v>7150</v>
      </c>
      <c r="AN535" t="s">
        <v>7151</v>
      </c>
      <c r="AO535" t="s">
        <v>7152</v>
      </c>
      <c r="AP535" t="s">
        <v>74</v>
      </c>
      <c r="AQ535" t="s">
        <v>74</v>
      </c>
      <c r="AR535" t="s">
        <v>7153</v>
      </c>
      <c r="AS535" t="s">
        <v>7154</v>
      </c>
      <c r="AT535" t="s">
        <v>6460</v>
      </c>
      <c r="AU535">
        <v>1999</v>
      </c>
      <c r="AV535">
        <v>69</v>
      </c>
      <c r="AW535" t="s">
        <v>74</v>
      </c>
      <c r="AX535" t="s">
        <v>74</v>
      </c>
      <c r="AY535" t="s">
        <v>74</v>
      </c>
      <c r="AZ535" t="s">
        <v>4033</v>
      </c>
      <c r="BA535" t="s">
        <v>74</v>
      </c>
      <c r="BB535" t="s">
        <v>7155</v>
      </c>
      <c r="BC535" t="s">
        <v>7156</v>
      </c>
      <c r="BD535" t="s">
        <v>74</v>
      </c>
      <c r="BE535" t="s">
        <v>74</v>
      </c>
      <c r="BF535" t="s">
        <v>74</v>
      </c>
      <c r="BG535" t="s">
        <v>74</v>
      </c>
      <c r="BH535" t="s">
        <v>74</v>
      </c>
      <c r="BI535">
        <v>2</v>
      </c>
      <c r="BJ535" t="s">
        <v>7157</v>
      </c>
      <c r="BK535" t="s">
        <v>96</v>
      </c>
      <c r="BL535" t="s">
        <v>7157</v>
      </c>
      <c r="BM535" t="s">
        <v>7158</v>
      </c>
      <c r="BN535" t="s">
        <v>74</v>
      </c>
      <c r="BO535" t="s">
        <v>74</v>
      </c>
      <c r="BP535" t="s">
        <v>74</v>
      </c>
      <c r="BQ535" t="s">
        <v>74</v>
      </c>
      <c r="BR535" t="s">
        <v>99</v>
      </c>
      <c r="BS535" t="s">
        <v>7159</v>
      </c>
      <c r="BT535" t="str">
        <f>HYPERLINK("https%3A%2F%2Fwww.webofscience.com%2Fwos%2Fwoscc%2Ffull-record%2FWOS:000081663200280","View Full Record in Web of Science")</f>
        <v>View Full Record in Web of Science</v>
      </c>
    </row>
    <row r="536" spans="1:72" x14ac:dyDescent="0.15">
      <c r="A536" t="s">
        <v>72</v>
      </c>
      <c r="B536" t="s">
        <v>7160</v>
      </c>
      <c r="C536" t="s">
        <v>74</v>
      </c>
      <c r="D536" t="s">
        <v>74</v>
      </c>
      <c r="E536" t="s">
        <v>74</v>
      </c>
      <c r="F536" t="s">
        <v>7160</v>
      </c>
      <c r="G536" t="s">
        <v>74</v>
      </c>
      <c r="H536" t="s">
        <v>74</v>
      </c>
      <c r="I536" t="s">
        <v>7161</v>
      </c>
      <c r="J536" t="s">
        <v>7162</v>
      </c>
      <c r="K536" t="s">
        <v>74</v>
      </c>
      <c r="L536" t="s">
        <v>74</v>
      </c>
      <c r="M536" t="s">
        <v>77</v>
      </c>
      <c r="N536" t="s">
        <v>78</v>
      </c>
      <c r="O536" t="s">
        <v>74</v>
      </c>
      <c r="P536" t="s">
        <v>74</v>
      </c>
      <c r="Q536" t="s">
        <v>74</v>
      </c>
      <c r="R536" t="s">
        <v>74</v>
      </c>
      <c r="S536" t="s">
        <v>74</v>
      </c>
      <c r="T536" t="s">
        <v>74</v>
      </c>
      <c r="U536" t="s">
        <v>7163</v>
      </c>
      <c r="V536" t="s">
        <v>7164</v>
      </c>
      <c r="W536" t="s">
        <v>7165</v>
      </c>
      <c r="X536" t="s">
        <v>7166</v>
      </c>
      <c r="Y536" t="s">
        <v>7167</v>
      </c>
      <c r="Z536" t="s">
        <v>74</v>
      </c>
      <c r="AA536" t="s">
        <v>7168</v>
      </c>
      <c r="AB536" t="s">
        <v>7169</v>
      </c>
      <c r="AC536" t="s">
        <v>74</v>
      </c>
      <c r="AD536" t="s">
        <v>74</v>
      </c>
      <c r="AE536" t="s">
        <v>74</v>
      </c>
      <c r="AF536" t="s">
        <v>74</v>
      </c>
      <c r="AG536">
        <v>14</v>
      </c>
      <c r="AH536">
        <v>12</v>
      </c>
      <c r="AI536">
        <v>13</v>
      </c>
      <c r="AJ536">
        <v>0</v>
      </c>
      <c r="AK536">
        <v>5</v>
      </c>
      <c r="AL536" t="s">
        <v>7170</v>
      </c>
      <c r="AM536" t="s">
        <v>7171</v>
      </c>
      <c r="AN536" t="s">
        <v>7172</v>
      </c>
      <c r="AO536" t="s">
        <v>7173</v>
      </c>
      <c r="AP536" t="s">
        <v>7174</v>
      </c>
      <c r="AQ536" t="s">
        <v>74</v>
      </c>
      <c r="AR536" t="s">
        <v>7175</v>
      </c>
      <c r="AS536" t="s">
        <v>7176</v>
      </c>
      <c r="AT536" t="s">
        <v>6460</v>
      </c>
      <c r="AU536">
        <v>1999</v>
      </c>
      <c r="AV536">
        <v>59</v>
      </c>
      <c r="AW536">
        <v>6</v>
      </c>
      <c r="AX536" t="s">
        <v>74</v>
      </c>
      <c r="AY536" t="s">
        <v>74</v>
      </c>
      <c r="AZ536" t="s">
        <v>74</v>
      </c>
      <c r="BA536" t="s">
        <v>74</v>
      </c>
      <c r="BB536">
        <v>6356</v>
      </c>
      <c r="BC536">
        <v>6360</v>
      </c>
      <c r="BD536" t="s">
        <v>74</v>
      </c>
      <c r="BE536" t="s">
        <v>7177</v>
      </c>
      <c r="BF536" t="str">
        <f>HYPERLINK("http://dx.doi.org/10.1103/PhysRevE.59.6356","http://dx.doi.org/10.1103/PhysRevE.59.6356")</f>
        <v>http://dx.doi.org/10.1103/PhysRevE.59.6356</v>
      </c>
      <c r="BG536" t="s">
        <v>74</v>
      </c>
      <c r="BH536" t="s">
        <v>74</v>
      </c>
      <c r="BI536">
        <v>5</v>
      </c>
      <c r="BJ536" t="s">
        <v>7178</v>
      </c>
      <c r="BK536" t="s">
        <v>96</v>
      </c>
      <c r="BL536" t="s">
        <v>5684</v>
      </c>
      <c r="BM536" t="s">
        <v>7179</v>
      </c>
      <c r="BN536">
        <v>11969620</v>
      </c>
      <c r="BO536" t="s">
        <v>74</v>
      </c>
      <c r="BP536" t="s">
        <v>74</v>
      </c>
      <c r="BQ536" t="s">
        <v>74</v>
      </c>
      <c r="BR536" t="s">
        <v>99</v>
      </c>
      <c r="BS536" t="s">
        <v>7180</v>
      </c>
      <c r="BT536" t="str">
        <f>HYPERLINK("https%3A%2F%2Fwww.webofscience.com%2Fwos%2Fwoscc%2Ffull-record%2FWOS:000081134200023","View Full Record in Web of Science")</f>
        <v>View Full Record in Web of Science</v>
      </c>
    </row>
    <row r="537" spans="1:72" x14ac:dyDescent="0.15">
      <c r="A537" t="s">
        <v>72</v>
      </c>
      <c r="B537" t="s">
        <v>7181</v>
      </c>
      <c r="C537" t="s">
        <v>74</v>
      </c>
      <c r="D537" t="s">
        <v>74</v>
      </c>
      <c r="E537" t="s">
        <v>74</v>
      </c>
      <c r="F537" t="s">
        <v>7181</v>
      </c>
      <c r="G537" t="s">
        <v>74</v>
      </c>
      <c r="H537" t="s">
        <v>74</v>
      </c>
      <c r="I537" t="s">
        <v>7182</v>
      </c>
      <c r="J537" t="s">
        <v>1375</v>
      </c>
      <c r="K537" t="s">
        <v>74</v>
      </c>
      <c r="L537" t="s">
        <v>74</v>
      </c>
      <c r="M537" t="s">
        <v>77</v>
      </c>
      <c r="N537" t="s">
        <v>78</v>
      </c>
      <c r="O537" t="s">
        <v>74</v>
      </c>
      <c r="P537" t="s">
        <v>74</v>
      </c>
      <c r="Q537" t="s">
        <v>74</v>
      </c>
      <c r="R537" t="s">
        <v>74</v>
      </c>
      <c r="S537" t="s">
        <v>74</v>
      </c>
      <c r="T537" t="s">
        <v>74</v>
      </c>
      <c r="U537" t="s">
        <v>7183</v>
      </c>
      <c r="V537" t="s">
        <v>7184</v>
      </c>
      <c r="W537" t="s">
        <v>151</v>
      </c>
      <c r="X537" t="s">
        <v>131</v>
      </c>
      <c r="Y537" t="s">
        <v>7185</v>
      </c>
      <c r="Z537" t="s">
        <v>74</v>
      </c>
      <c r="AA537" t="s">
        <v>74</v>
      </c>
      <c r="AB537" t="s">
        <v>74</v>
      </c>
      <c r="AC537" t="s">
        <v>74</v>
      </c>
      <c r="AD537" t="s">
        <v>74</v>
      </c>
      <c r="AE537" t="s">
        <v>74</v>
      </c>
      <c r="AF537" t="s">
        <v>74</v>
      </c>
      <c r="AG537">
        <v>39</v>
      </c>
      <c r="AH537">
        <v>48</v>
      </c>
      <c r="AI537">
        <v>55</v>
      </c>
      <c r="AJ537">
        <v>1</v>
      </c>
      <c r="AK537">
        <v>34</v>
      </c>
      <c r="AL537" t="s">
        <v>553</v>
      </c>
      <c r="AM537" t="s">
        <v>554</v>
      </c>
      <c r="AN537" t="s">
        <v>555</v>
      </c>
      <c r="AO537" t="s">
        <v>1379</v>
      </c>
      <c r="AP537" t="s">
        <v>74</v>
      </c>
      <c r="AQ537" t="s">
        <v>74</v>
      </c>
      <c r="AR537" t="s">
        <v>1380</v>
      </c>
      <c r="AS537" t="s">
        <v>1381</v>
      </c>
      <c r="AT537" t="s">
        <v>6460</v>
      </c>
      <c r="AU537">
        <v>1999</v>
      </c>
      <c r="AV537">
        <v>21</v>
      </c>
      <c r="AW537">
        <v>6</v>
      </c>
      <c r="AX537" t="s">
        <v>74</v>
      </c>
      <c r="AY537" t="s">
        <v>74</v>
      </c>
      <c r="AZ537" t="s">
        <v>74</v>
      </c>
      <c r="BA537" t="s">
        <v>74</v>
      </c>
      <c r="BB537">
        <v>355</v>
      </c>
      <c r="BC537">
        <v>360</v>
      </c>
      <c r="BD537" t="s">
        <v>74</v>
      </c>
      <c r="BE537" t="s">
        <v>7186</v>
      </c>
      <c r="BF537" t="str">
        <f>HYPERLINK("http://dx.doi.org/10.1007/s003000050373","http://dx.doi.org/10.1007/s003000050373")</f>
        <v>http://dx.doi.org/10.1007/s003000050373</v>
      </c>
      <c r="BG537" t="s">
        <v>74</v>
      </c>
      <c r="BH537" t="s">
        <v>74</v>
      </c>
      <c r="BI537">
        <v>6</v>
      </c>
      <c r="BJ537" t="s">
        <v>1383</v>
      </c>
      <c r="BK537" t="s">
        <v>96</v>
      </c>
      <c r="BL537" t="s">
        <v>1384</v>
      </c>
      <c r="BM537" t="s">
        <v>7187</v>
      </c>
      <c r="BN537" t="s">
        <v>74</v>
      </c>
      <c r="BO537" t="s">
        <v>74</v>
      </c>
      <c r="BP537" t="s">
        <v>74</v>
      </c>
      <c r="BQ537" t="s">
        <v>74</v>
      </c>
      <c r="BR537" t="s">
        <v>99</v>
      </c>
      <c r="BS537" t="s">
        <v>7188</v>
      </c>
      <c r="BT537" t="str">
        <f>HYPERLINK("https%3A%2F%2Fwww.webofscience.com%2Fwos%2Fwoscc%2Ffull-record%2FWOS:000080706800002","View Full Record in Web of Science")</f>
        <v>View Full Record in Web of Science</v>
      </c>
    </row>
    <row r="538" spans="1:72" x14ac:dyDescent="0.15">
      <c r="A538" t="s">
        <v>72</v>
      </c>
      <c r="B538" t="s">
        <v>7189</v>
      </c>
      <c r="C538" t="s">
        <v>74</v>
      </c>
      <c r="D538" t="s">
        <v>74</v>
      </c>
      <c r="E538" t="s">
        <v>74</v>
      </c>
      <c r="F538" t="s">
        <v>7189</v>
      </c>
      <c r="G538" t="s">
        <v>74</v>
      </c>
      <c r="H538" t="s">
        <v>74</v>
      </c>
      <c r="I538" t="s">
        <v>7190</v>
      </c>
      <c r="J538" t="s">
        <v>1375</v>
      </c>
      <c r="K538" t="s">
        <v>74</v>
      </c>
      <c r="L538" t="s">
        <v>74</v>
      </c>
      <c r="M538" t="s">
        <v>77</v>
      </c>
      <c r="N538" t="s">
        <v>78</v>
      </c>
      <c r="O538" t="s">
        <v>74</v>
      </c>
      <c r="P538" t="s">
        <v>74</v>
      </c>
      <c r="Q538" t="s">
        <v>74</v>
      </c>
      <c r="R538" t="s">
        <v>74</v>
      </c>
      <c r="S538" t="s">
        <v>74</v>
      </c>
      <c r="T538" t="s">
        <v>74</v>
      </c>
      <c r="U538" t="s">
        <v>7191</v>
      </c>
      <c r="V538" t="s">
        <v>7192</v>
      </c>
      <c r="W538" t="s">
        <v>7193</v>
      </c>
      <c r="X538" t="s">
        <v>7194</v>
      </c>
      <c r="Y538" t="s">
        <v>7195</v>
      </c>
      <c r="Z538" t="s">
        <v>7196</v>
      </c>
      <c r="AA538" t="s">
        <v>7197</v>
      </c>
      <c r="AB538" t="s">
        <v>7198</v>
      </c>
      <c r="AC538" t="s">
        <v>74</v>
      </c>
      <c r="AD538" t="s">
        <v>74</v>
      </c>
      <c r="AE538" t="s">
        <v>74</v>
      </c>
      <c r="AF538" t="s">
        <v>74</v>
      </c>
      <c r="AG538">
        <v>36</v>
      </c>
      <c r="AH538">
        <v>9</v>
      </c>
      <c r="AI538">
        <v>9</v>
      </c>
      <c r="AJ538">
        <v>0</v>
      </c>
      <c r="AK538">
        <v>3</v>
      </c>
      <c r="AL538" t="s">
        <v>705</v>
      </c>
      <c r="AM538" t="s">
        <v>554</v>
      </c>
      <c r="AN538" t="s">
        <v>706</v>
      </c>
      <c r="AO538" t="s">
        <v>1379</v>
      </c>
      <c r="AP538" t="s">
        <v>74</v>
      </c>
      <c r="AQ538" t="s">
        <v>74</v>
      </c>
      <c r="AR538" t="s">
        <v>1380</v>
      </c>
      <c r="AS538" t="s">
        <v>1381</v>
      </c>
      <c r="AT538" t="s">
        <v>6460</v>
      </c>
      <c r="AU538">
        <v>1999</v>
      </c>
      <c r="AV538">
        <v>21</v>
      </c>
      <c r="AW538">
        <v>6</v>
      </c>
      <c r="AX538" t="s">
        <v>74</v>
      </c>
      <c r="AY538" t="s">
        <v>74</v>
      </c>
      <c r="AZ538" t="s">
        <v>74</v>
      </c>
      <c r="BA538" t="s">
        <v>74</v>
      </c>
      <c r="BB538">
        <v>369</v>
      </c>
      <c r="BC538">
        <v>375</v>
      </c>
      <c r="BD538" t="s">
        <v>74</v>
      </c>
      <c r="BE538" t="s">
        <v>7199</v>
      </c>
      <c r="BF538" t="str">
        <f>HYPERLINK("http://dx.doi.org/10.1007/s003000050375","http://dx.doi.org/10.1007/s003000050375")</f>
        <v>http://dx.doi.org/10.1007/s003000050375</v>
      </c>
      <c r="BG538" t="s">
        <v>74</v>
      </c>
      <c r="BH538" t="s">
        <v>74</v>
      </c>
      <c r="BI538">
        <v>7</v>
      </c>
      <c r="BJ538" t="s">
        <v>1383</v>
      </c>
      <c r="BK538" t="s">
        <v>96</v>
      </c>
      <c r="BL538" t="s">
        <v>1384</v>
      </c>
      <c r="BM538" t="s">
        <v>7187</v>
      </c>
      <c r="BN538" t="s">
        <v>74</v>
      </c>
      <c r="BO538" t="s">
        <v>74</v>
      </c>
      <c r="BP538" t="s">
        <v>74</v>
      </c>
      <c r="BQ538" t="s">
        <v>74</v>
      </c>
      <c r="BR538" t="s">
        <v>99</v>
      </c>
      <c r="BS538" t="s">
        <v>7200</v>
      </c>
      <c r="BT538" t="str">
        <f>HYPERLINK("https%3A%2F%2Fwww.webofscience.com%2Fwos%2Fwoscc%2Ffull-record%2FWOS:000080706800004","View Full Record in Web of Science")</f>
        <v>View Full Record in Web of Science</v>
      </c>
    </row>
    <row r="539" spans="1:72" x14ac:dyDescent="0.15">
      <c r="A539" t="s">
        <v>72</v>
      </c>
      <c r="B539" t="s">
        <v>7201</v>
      </c>
      <c r="C539" t="s">
        <v>74</v>
      </c>
      <c r="D539" t="s">
        <v>74</v>
      </c>
      <c r="E539" t="s">
        <v>74</v>
      </c>
      <c r="F539" t="s">
        <v>7201</v>
      </c>
      <c r="G539" t="s">
        <v>74</v>
      </c>
      <c r="H539" t="s">
        <v>74</v>
      </c>
      <c r="I539" t="s">
        <v>7202</v>
      </c>
      <c r="J539" t="s">
        <v>1375</v>
      </c>
      <c r="K539" t="s">
        <v>74</v>
      </c>
      <c r="L539" t="s">
        <v>74</v>
      </c>
      <c r="M539" t="s">
        <v>77</v>
      </c>
      <c r="N539" t="s">
        <v>78</v>
      </c>
      <c r="O539" t="s">
        <v>74</v>
      </c>
      <c r="P539" t="s">
        <v>74</v>
      </c>
      <c r="Q539" t="s">
        <v>74</v>
      </c>
      <c r="R539" t="s">
        <v>74</v>
      </c>
      <c r="S539" t="s">
        <v>74</v>
      </c>
      <c r="T539" t="s">
        <v>74</v>
      </c>
      <c r="U539" t="s">
        <v>7203</v>
      </c>
      <c r="V539" t="s">
        <v>7204</v>
      </c>
      <c r="W539" t="s">
        <v>6526</v>
      </c>
      <c r="X539" t="s">
        <v>2279</v>
      </c>
      <c r="Y539" t="s">
        <v>7205</v>
      </c>
      <c r="Z539" t="s">
        <v>74</v>
      </c>
      <c r="AA539" t="s">
        <v>7206</v>
      </c>
      <c r="AB539" t="s">
        <v>74</v>
      </c>
      <c r="AC539" t="s">
        <v>74</v>
      </c>
      <c r="AD539" t="s">
        <v>74</v>
      </c>
      <c r="AE539" t="s">
        <v>74</v>
      </c>
      <c r="AF539" t="s">
        <v>74</v>
      </c>
      <c r="AG539">
        <v>27</v>
      </c>
      <c r="AH539">
        <v>38</v>
      </c>
      <c r="AI539">
        <v>39</v>
      </c>
      <c r="AJ539">
        <v>1</v>
      </c>
      <c r="AK539">
        <v>13</v>
      </c>
      <c r="AL539" t="s">
        <v>553</v>
      </c>
      <c r="AM539" t="s">
        <v>554</v>
      </c>
      <c r="AN539" t="s">
        <v>555</v>
      </c>
      <c r="AO539" t="s">
        <v>1379</v>
      </c>
      <c r="AP539" t="s">
        <v>74</v>
      </c>
      <c r="AQ539" t="s">
        <v>74</v>
      </c>
      <c r="AR539" t="s">
        <v>1380</v>
      </c>
      <c r="AS539" t="s">
        <v>1381</v>
      </c>
      <c r="AT539" t="s">
        <v>6460</v>
      </c>
      <c r="AU539">
        <v>1999</v>
      </c>
      <c r="AV539">
        <v>21</v>
      </c>
      <c r="AW539">
        <v>6</v>
      </c>
      <c r="AX539" t="s">
        <v>74</v>
      </c>
      <c r="AY539" t="s">
        <v>74</v>
      </c>
      <c r="AZ539" t="s">
        <v>74</v>
      </c>
      <c r="BA539" t="s">
        <v>74</v>
      </c>
      <c r="BB539">
        <v>376</v>
      </c>
      <c r="BC539">
        <v>384</v>
      </c>
      <c r="BD539" t="s">
        <v>74</v>
      </c>
      <c r="BE539" t="s">
        <v>7207</v>
      </c>
      <c r="BF539" t="str">
        <f>HYPERLINK("http://dx.doi.org/10.1007/s003000050376","http://dx.doi.org/10.1007/s003000050376")</f>
        <v>http://dx.doi.org/10.1007/s003000050376</v>
      </c>
      <c r="BG539" t="s">
        <v>74</v>
      </c>
      <c r="BH539" t="s">
        <v>74</v>
      </c>
      <c r="BI539">
        <v>9</v>
      </c>
      <c r="BJ539" t="s">
        <v>1383</v>
      </c>
      <c r="BK539" t="s">
        <v>96</v>
      </c>
      <c r="BL539" t="s">
        <v>1384</v>
      </c>
      <c r="BM539" t="s">
        <v>7187</v>
      </c>
      <c r="BN539" t="s">
        <v>74</v>
      </c>
      <c r="BO539" t="s">
        <v>74</v>
      </c>
      <c r="BP539" t="s">
        <v>74</v>
      </c>
      <c r="BQ539" t="s">
        <v>74</v>
      </c>
      <c r="BR539" t="s">
        <v>99</v>
      </c>
      <c r="BS539" t="s">
        <v>7208</v>
      </c>
      <c r="BT539" t="str">
        <f>HYPERLINK("https%3A%2F%2Fwww.webofscience.com%2Fwos%2Fwoscc%2Ffull-record%2FWOS:000080706800005","View Full Record in Web of Science")</f>
        <v>View Full Record in Web of Science</v>
      </c>
    </row>
    <row r="540" spans="1:72" x14ac:dyDescent="0.15">
      <c r="A540" t="s">
        <v>72</v>
      </c>
      <c r="B540" t="s">
        <v>7209</v>
      </c>
      <c r="C540" t="s">
        <v>74</v>
      </c>
      <c r="D540" t="s">
        <v>74</v>
      </c>
      <c r="E540" t="s">
        <v>74</v>
      </c>
      <c r="F540" t="s">
        <v>7209</v>
      </c>
      <c r="G540" t="s">
        <v>74</v>
      </c>
      <c r="H540" t="s">
        <v>74</v>
      </c>
      <c r="I540" t="s">
        <v>7210</v>
      </c>
      <c r="J540" t="s">
        <v>1375</v>
      </c>
      <c r="K540" t="s">
        <v>74</v>
      </c>
      <c r="L540" t="s">
        <v>74</v>
      </c>
      <c r="M540" t="s">
        <v>77</v>
      </c>
      <c r="N540" t="s">
        <v>78</v>
      </c>
      <c r="O540" t="s">
        <v>74</v>
      </c>
      <c r="P540" t="s">
        <v>74</v>
      </c>
      <c r="Q540" t="s">
        <v>74</v>
      </c>
      <c r="R540" t="s">
        <v>74</v>
      </c>
      <c r="S540" t="s">
        <v>74</v>
      </c>
      <c r="T540" t="s">
        <v>74</v>
      </c>
      <c r="U540" t="s">
        <v>7211</v>
      </c>
      <c r="V540" t="s">
        <v>7212</v>
      </c>
      <c r="W540" t="s">
        <v>7213</v>
      </c>
      <c r="X540" t="s">
        <v>5163</v>
      </c>
      <c r="Y540" t="s">
        <v>7214</v>
      </c>
      <c r="Z540" t="s">
        <v>74</v>
      </c>
      <c r="AA540" t="s">
        <v>74</v>
      </c>
      <c r="AB540" t="s">
        <v>74</v>
      </c>
      <c r="AC540" t="s">
        <v>74</v>
      </c>
      <c r="AD540" t="s">
        <v>74</v>
      </c>
      <c r="AE540" t="s">
        <v>74</v>
      </c>
      <c r="AF540" t="s">
        <v>74</v>
      </c>
      <c r="AG540">
        <v>34</v>
      </c>
      <c r="AH540">
        <v>4</v>
      </c>
      <c r="AI540">
        <v>4</v>
      </c>
      <c r="AJ540">
        <v>0</v>
      </c>
      <c r="AK540">
        <v>0</v>
      </c>
      <c r="AL540" t="s">
        <v>553</v>
      </c>
      <c r="AM540" t="s">
        <v>554</v>
      </c>
      <c r="AN540" t="s">
        <v>555</v>
      </c>
      <c r="AO540" t="s">
        <v>1379</v>
      </c>
      <c r="AP540" t="s">
        <v>74</v>
      </c>
      <c r="AQ540" t="s">
        <v>74</v>
      </c>
      <c r="AR540" t="s">
        <v>1380</v>
      </c>
      <c r="AS540" t="s">
        <v>1381</v>
      </c>
      <c r="AT540" t="s">
        <v>6460</v>
      </c>
      <c r="AU540">
        <v>1999</v>
      </c>
      <c r="AV540">
        <v>21</v>
      </c>
      <c r="AW540">
        <v>6</v>
      </c>
      <c r="AX540" t="s">
        <v>74</v>
      </c>
      <c r="AY540" t="s">
        <v>74</v>
      </c>
      <c r="AZ540" t="s">
        <v>74</v>
      </c>
      <c r="BA540" t="s">
        <v>74</v>
      </c>
      <c r="BB540">
        <v>385</v>
      </c>
      <c r="BC540">
        <v>390</v>
      </c>
      <c r="BD540" t="s">
        <v>74</v>
      </c>
      <c r="BE540" t="s">
        <v>7215</v>
      </c>
      <c r="BF540" t="str">
        <f>HYPERLINK("http://dx.doi.org/10.1007/s003000050377","http://dx.doi.org/10.1007/s003000050377")</f>
        <v>http://dx.doi.org/10.1007/s003000050377</v>
      </c>
      <c r="BG540" t="s">
        <v>74</v>
      </c>
      <c r="BH540" t="s">
        <v>74</v>
      </c>
      <c r="BI540">
        <v>6</v>
      </c>
      <c r="BJ540" t="s">
        <v>1383</v>
      </c>
      <c r="BK540" t="s">
        <v>96</v>
      </c>
      <c r="BL540" t="s">
        <v>1384</v>
      </c>
      <c r="BM540" t="s">
        <v>7187</v>
      </c>
      <c r="BN540" t="s">
        <v>74</v>
      </c>
      <c r="BO540" t="s">
        <v>74</v>
      </c>
      <c r="BP540" t="s">
        <v>74</v>
      </c>
      <c r="BQ540" t="s">
        <v>74</v>
      </c>
      <c r="BR540" t="s">
        <v>99</v>
      </c>
      <c r="BS540" t="s">
        <v>7216</v>
      </c>
      <c r="BT540" t="str">
        <f>HYPERLINK("https%3A%2F%2Fwww.webofscience.com%2Fwos%2Fwoscc%2Ffull-record%2FWOS:000080706800006","View Full Record in Web of Science")</f>
        <v>View Full Record in Web of Science</v>
      </c>
    </row>
    <row r="541" spans="1:72" x14ac:dyDescent="0.15">
      <c r="A541" t="s">
        <v>72</v>
      </c>
      <c r="B541" t="s">
        <v>7217</v>
      </c>
      <c r="C541" t="s">
        <v>74</v>
      </c>
      <c r="D541" t="s">
        <v>74</v>
      </c>
      <c r="E541" t="s">
        <v>74</v>
      </c>
      <c r="F541" t="s">
        <v>7217</v>
      </c>
      <c r="G541" t="s">
        <v>74</v>
      </c>
      <c r="H541" t="s">
        <v>74</v>
      </c>
      <c r="I541" t="s">
        <v>7218</v>
      </c>
      <c r="J541" t="s">
        <v>1375</v>
      </c>
      <c r="K541" t="s">
        <v>74</v>
      </c>
      <c r="L541" t="s">
        <v>74</v>
      </c>
      <c r="M541" t="s">
        <v>77</v>
      </c>
      <c r="N541" t="s">
        <v>78</v>
      </c>
      <c r="O541" t="s">
        <v>74</v>
      </c>
      <c r="P541" t="s">
        <v>74</v>
      </c>
      <c r="Q541" t="s">
        <v>74</v>
      </c>
      <c r="R541" t="s">
        <v>74</v>
      </c>
      <c r="S541" t="s">
        <v>74</v>
      </c>
      <c r="T541" t="s">
        <v>74</v>
      </c>
      <c r="U541" t="s">
        <v>7219</v>
      </c>
      <c r="V541" t="s">
        <v>7220</v>
      </c>
      <c r="W541" t="s">
        <v>7221</v>
      </c>
      <c r="X541" t="s">
        <v>3362</v>
      </c>
      <c r="Y541" t="s">
        <v>7222</v>
      </c>
      <c r="Z541" t="s">
        <v>74</v>
      </c>
      <c r="AA541" t="s">
        <v>7223</v>
      </c>
      <c r="AB541" t="s">
        <v>74</v>
      </c>
      <c r="AC541" t="s">
        <v>74</v>
      </c>
      <c r="AD541" t="s">
        <v>74</v>
      </c>
      <c r="AE541" t="s">
        <v>74</v>
      </c>
      <c r="AF541" t="s">
        <v>74</v>
      </c>
      <c r="AG541">
        <v>56</v>
      </c>
      <c r="AH541">
        <v>15</v>
      </c>
      <c r="AI541">
        <v>19</v>
      </c>
      <c r="AJ541">
        <v>0</v>
      </c>
      <c r="AK541">
        <v>11</v>
      </c>
      <c r="AL541" t="s">
        <v>553</v>
      </c>
      <c r="AM541" t="s">
        <v>554</v>
      </c>
      <c r="AN541" t="s">
        <v>555</v>
      </c>
      <c r="AO541" t="s">
        <v>1379</v>
      </c>
      <c r="AP541" t="s">
        <v>74</v>
      </c>
      <c r="AQ541" t="s">
        <v>74</v>
      </c>
      <c r="AR541" t="s">
        <v>1380</v>
      </c>
      <c r="AS541" t="s">
        <v>1381</v>
      </c>
      <c r="AT541" t="s">
        <v>6460</v>
      </c>
      <c r="AU541">
        <v>1999</v>
      </c>
      <c r="AV541">
        <v>21</v>
      </c>
      <c r="AW541">
        <v>6</v>
      </c>
      <c r="AX541" t="s">
        <v>74</v>
      </c>
      <c r="AY541" t="s">
        <v>74</v>
      </c>
      <c r="AZ541" t="s">
        <v>74</v>
      </c>
      <c r="BA541" t="s">
        <v>74</v>
      </c>
      <c r="BB541">
        <v>391</v>
      </c>
      <c r="BC541">
        <v>396</v>
      </c>
      <c r="BD541" t="s">
        <v>74</v>
      </c>
      <c r="BE541" t="s">
        <v>7224</v>
      </c>
      <c r="BF541" t="str">
        <f>HYPERLINK("http://dx.doi.org/10.1007/s003000050378","http://dx.doi.org/10.1007/s003000050378")</f>
        <v>http://dx.doi.org/10.1007/s003000050378</v>
      </c>
      <c r="BG541" t="s">
        <v>74</v>
      </c>
      <c r="BH541" t="s">
        <v>74</v>
      </c>
      <c r="BI541">
        <v>6</v>
      </c>
      <c r="BJ541" t="s">
        <v>1383</v>
      </c>
      <c r="BK541" t="s">
        <v>96</v>
      </c>
      <c r="BL541" t="s">
        <v>1384</v>
      </c>
      <c r="BM541" t="s">
        <v>7187</v>
      </c>
      <c r="BN541" t="s">
        <v>74</v>
      </c>
      <c r="BO541" t="s">
        <v>74</v>
      </c>
      <c r="BP541" t="s">
        <v>74</v>
      </c>
      <c r="BQ541" t="s">
        <v>74</v>
      </c>
      <c r="BR541" t="s">
        <v>99</v>
      </c>
      <c r="BS541" t="s">
        <v>7225</v>
      </c>
      <c r="BT541" t="str">
        <f>HYPERLINK("https%3A%2F%2Fwww.webofscience.com%2Fwos%2Fwoscc%2Ffull-record%2FWOS:000080706800007","View Full Record in Web of Science")</f>
        <v>View Full Record in Web of Science</v>
      </c>
    </row>
    <row r="542" spans="1:72" x14ac:dyDescent="0.15">
      <c r="A542" t="s">
        <v>72</v>
      </c>
      <c r="B542" t="s">
        <v>7226</v>
      </c>
      <c r="C542" t="s">
        <v>74</v>
      </c>
      <c r="D542" t="s">
        <v>74</v>
      </c>
      <c r="E542" t="s">
        <v>74</v>
      </c>
      <c r="F542" t="s">
        <v>7226</v>
      </c>
      <c r="G542" t="s">
        <v>74</v>
      </c>
      <c r="H542" t="s">
        <v>74</v>
      </c>
      <c r="I542" t="s">
        <v>7227</v>
      </c>
      <c r="J542" t="s">
        <v>1375</v>
      </c>
      <c r="K542" t="s">
        <v>74</v>
      </c>
      <c r="L542" t="s">
        <v>74</v>
      </c>
      <c r="M542" t="s">
        <v>77</v>
      </c>
      <c r="N542" t="s">
        <v>78</v>
      </c>
      <c r="O542" t="s">
        <v>74</v>
      </c>
      <c r="P542" t="s">
        <v>74</v>
      </c>
      <c r="Q542" t="s">
        <v>74</v>
      </c>
      <c r="R542" t="s">
        <v>74</v>
      </c>
      <c r="S542" t="s">
        <v>74</v>
      </c>
      <c r="T542" t="s">
        <v>74</v>
      </c>
      <c r="U542" t="s">
        <v>7228</v>
      </c>
      <c r="V542" t="s">
        <v>7229</v>
      </c>
      <c r="W542" t="s">
        <v>7230</v>
      </c>
      <c r="X542" t="s">
        <v>7231</v>
      </c>
      <c r="Y542" t="s">
        <v>7232</v>
      </c>
      <c r="Z542" t="s">
        <v>74</v>
      </c>
      <c r="AA542" t="s">
        <v>7233</v>
      </c>
      <c r="AB542" t="s">
        <v>7234</v>
      </c>
      <c r="AC542" t="s">
        <v>74</v>
      </c>
      <c r="AD542" t="s">
        <v>74</v>
      </c>
      <c r="AE542" t="s">
        <v>74</v>
      </c>
      <c r="AF542" t="s">
        <v>74</v>
      </c>
      <c r="AG542">
        <v>23</v>
      </c>
      <c r="AH542">
        <v>8</v>
      </c>
      <c r="AI542">
        <v>10</v>
      </c>
      <c r="AJ542">
        <v>0</v>
      </c>
      <c r="AK542">
        <v>5</v>
      </c>
      <c r="AL542" t="s">
        <v>553</v>
      </c>
      <c r="AM542" t="s">
        <v>554</v>
      </c>
      <c r="AN542" t="s">
        <v>555</v>
      </c>
      <c r="AO542" t="s">
        <v>1379</v>
      </c>
      <c r="AP542" t="s">
        <v>74</v>
      </c>
      <c r="AQ542" t="s">
        <v>74</v>
      </c>
      <c r="AR542" t="s">
        <v>1380</v>
      </c>
      <c r="AS542" t="s">
        <v>1381</v>
      </c>
      <c r="AT542" t="s">
        <v>6460</v>
      </c>
      <c r="AU542">
        <v>1999</v>
      </c>
      <c r="AV542">
        <v>21</v>
      </c>
      <c r="AW542">
        <v>6</v>
      </c>
      <c r="AX542" t="s">
        <v>74</v>
      </c>
      <c r="AY542" t="s">
        <v>74</v>
      </c>
      <c r="AZ542" t="s">
        <v>74</v>
      </c>
      <c r="BA542" t="s">
        <v>74</v>
      </c>
      <c r="BB542">
        <v>397</v>
      </c>
      <c r="BC542">
        <v>400</v>
      </c>
      <c r="BD542" t="s">
        <v>74</v>
      </c>
      <c r="BE542" t="s">
        <v>7235</v>
      </c>
      <c r="BF542" t="str">
        <f>HYPERLINK("http://dx.doi.org/10.1007/s003000050379","http://dx.doi.org/10.1007/s003000050379")</f>
        <v>http://dx.doi.org/10.1007/s003000050379</v>
      </c>
      <c r="BG542" t="s">
        <v>74</v>
      </c>
      <c r="BH542" t="s">
        <v>74</v>
      </c>
      <c r="BI542">
        <v>4</v>
      </c>
      <c r="BJ542" t="s">
        <v>1383</v>
      </c>
      <c r="BK542" t="s">
        <v>96</v>
      </c>
      <c r="BL542" t="s">
        <v>1384</v>
      </c>
      <c r="BM542" t="s">
        <v>7187</v>
      </c>
      <c r="BN542" t="s">
        <v>74</v>
      </c>
      <c r="BO542" t="s">
        <v>74</v>
      </c>
      <c r="BP542" t="s">
        <v>74</v>
      </c>
      <c r="BQ542" t="s">
        <v>74</v>
      </c>
      <c r="BR542" t="s">
        <v>99</v>
      </c>
      <c r="BS542" t="s">
        <v>7236</v>
      </c>
      <c r="BT542" t="str">
        <f>HYPERLINK("https%3A%2F%2Fwww.webofscience.com%2Fwos%2Fwoscc%2Ffull-record%2FWOS:000080706800008","View Full Record in Web of Science")</f>
        <v>View Full Record in Web of Science</v>
      </c>
    </row>
    <row r="543" spans="1:72" x14ac:dyDescent="0.15">
      <c r="A543" t="s">
        <v>72</v>
      </c>
      <c r="B543" t="s">
        <v>7237</v>
      </c>
      <c r="C543" t="s">
        <v>74</v>
      </c>
      <c r="D543" t="s">
        <v>74</v>
      </c>
      <c r="E543" t="s">
        <v>74</v>
      </c>
      <c r="F543" t="s">
        <v>7237</v>
      </c>
      <c r="G543" t="s">
        <v>74</v>
      </c>
      <c r="H543" t="s">
        <v>74</v>
      </c>
      <c r="I543" t="s">
        <v>7238</v>
      </c>
      <c r="J543" t="s">
        <v>1375</v>
      </c>
      <c r="K543" t="s">
        <v>74</v>
      </c>
      <c r="L543" t="s">
        <v>74</v>
      </c>
      <c r="M543" t="s">
        <v>77</v>
      </c>
      <c r="N543" t="s">
        <v>78</v>
      </c>
      <c r="O543" t="s">
        <v>74</v>
      </c>
      <c r="P543" t="s">
        <v>74</v>
      </c>
      <c r="Q543" t="s">
        <v>74</v>
      </c>
      <c r="R543" t="s">
        <v>74</v>
      </c>
      <c r="S543" t="s">
        <v>74</v>
      </c>
      <c r="T543" t="s">
        <v>74</v>
      </c>
      <c r="U543" t="s">
        <v>7239</v>
      </c>
      <c r="V543" t="s">
        <v>7240</v>
      </c>
      <c r="W543" t="s">
        <v>7241</v>
      </c>
      <c r="X543" t="s">
        <v>7242</v>
      </c>
      <c r="Y543" t="s">
        <v>7243</v>
      </c>
      <c r="Z543" t="s">
        <v>74</v>
      </c>
      <c r="AA543" t="s">
        <v>74</v>
      </c>
      <c r="AB543" t="s">
        <v>74</v>
      </c>
      <c r="AC543" t="s">
        <v>74</v>
      </c>
      <c r="AD543" t="s">
        <v>74</v>
      </c>
      <c r="AE543" t="s">
        <v>74</v>
      </c>
      <c r="AF543" t="s">
        <v>74</v>
      </c>
      <c r="AG543">
        <v>36</v>
      </c>
      <c r="AH543">
        <v>52</v>
      </c>
      <c r="AI543">
        <v>57</v>
      </c>
      <c r="AJ543">
        <v>1</v>
      </c>
      <c r="AK543">
        <v>20</v>
      </c>
      <c r="AL543" t="s">
        <v>553</v>
      </c>
      <c r="AM543" t="s">
        <v>554</v>
      </c>
      <c r="AN543" t="s">
        <v>555</v>
      </c>
      <c r="AO543" t="s">
        <v>1379</v>
      </c>
      <c r="AP543" t="s">
        <v>74</v>
      </c>
      <c r="AQ543" t="s">
        <v>74</v>
      </c>
      <c r="AR543" t="s">
        <v>1380</v>
      </c>
      <c r="AS543" t="s">
        <v>1381</v>
      </c>
      <c r="AT543" t="s">
        <v>6460</v>
      </c>
      <c r="AU543">
        <v>1999</v>
      </c>
      <c r="AV543">
        <v>21</v>
      </c>
      <c r="AW543">
        <v>6</v>
      </c>
      <c r="AX543" t="s">
        <v>74</v>
      </c>
      <c r="AY543" t="s">
        <v>74</v>
      </c>
      <c r="AZ543" t="s">
        <v>74</v>
      </c>
      <c r="BA543" t="s">
        <v>74</v>
      </c>
      <c r="BB543">
        <v>401</v>
      </c>
      <c r="BC543">
        <v>409</v>
      </c>
      <c r="BD543" t="s">
        <v>74</v>
      </c>
      <c r="BE543" t="s">
        <v>7244</v>
      </c>
      <c r="BF543" t="str">
        <f>HYPERLINK("http://dx.doi.org/10.1007/s003000050380","http://dx.doi.org/10.1007/s003000050380")</f>
        <v>http://dx.doi.org/10.1007/s003000050380</v>
      </c>
      <c r="BG543" t="s">
        <v>74</v>
      </c>
      <c r="BH543" t="s">
        <v>74</v>
      </c>
      <c r="BI543">
        <v>9</v>
      </c>
      <c r="BJ543" t="s">
        <v>1383</v>
      </c>
      <c r="BK543" t="s">
        <v>96</v>
      </c>
      <c r="BL543" t="s">
        <v>1384</v>
      </c>
      <c r="BM543" t="s">
        <v>7187</v>
      </c>
      <c r="BN543" t="s">
        <v>74</v>
      </c>
      <c r="BO543" t="s">
        <v>74</v>
      </c>
      <c r="BP543" t="s">
        <v>74</v>
      </c>
      <c r="BQ543" t="s">
        <v>74</v>
      </c>
      <c r="BR543" t="s">
        <v>99</v>
      </c>
      <c r="BS543" t="s">
        <v>7245</v>
      </c>
      <c r="BT543" t="str">
        <f>HYPERLINK("https%3A%2F%2Fwww.webofscience.com%2Fwos%2Fwoscc%2Ffull-record%2FWOS:000080706800009","View Full Record in Web of Science")</f>
        <v>View Full Record in Web of Science</v>
      </c>
    </row>
    <row r="544" spans="1:72" x14ac:dyDescent="0.15">
      <c r="A544" t="s">
        <v>72</v>
      </c>
      <c r="B544" t="s">
        <v>7246</v>
      </c>
      <c r="C544" t="s">
        <v>74</v>
      </c>
      <c r="D544" t="s">
        <v>74</v>
      </c>
      <c r="E544" t="s">
        <v>74</v>
      </c>
      <c r="F544" t="s">
        <v>7246</v>
      </c>
      <c r="G544" t="s">
        <v>74</v>
      </c>
      <c r="H544" t="s">
        <v>74</v>
      </c>
      <c r="I544" t="s">
        <v>7247</v>
      </c>
      <c r="J544" t="s">
        <v>1375</v>
      </c>
      <c r="K544" t="s">
        <v>74</v>
      </c>
      <c r="L544" t="s">
        <v>74</v>
      </c>
      <c r="M544" t="s">
        <v>77</v>
      </c>
      <c r="N544" t="s">
        <v>78</v>
      </c>
      <c r="O544" t="s">
        <v>74</v>
      </c>
      <c r="P544" t="s">
        <v>74</v>
      </c>
      <c r="Q544" t="s">
        <v>74</v>
      </c>
      <c r="R544" t="s">
        <v>74</v>
      </c>
      <c r="S544" t="s">
        <v>74</v>
      </c>
      <c r="T544" t="s">
        <v>74</v>
      </c>
      <c r="U544" t="s">
        <v>7248</v>
      </c>
      <c r="V544" t="s">
        <v>7249</v>
      </c>
      <c r="W544" t="s">
        <v>7250</v>
      </c>
      <c r="X544" t="s">
        <v>74</v>
      </c>
      <c r="Y544" t="s">
        <v>7251</v>
      </c>
      <c r="Z544" t="s">
        <v>3804</v>
      </c>
      <c r="AA544" t="s">
        <v>3805</v>
      </c>
      <c r="AB544" t="s">
        <v>3806</v>
      </c>
      <c r="AC544" t="s">
        <v>74</v>
      </c>
      <c r="AD544" t="s">
        <v>74</v>
      </c>
      <c r="AE544" t="s">
        <v>74</v>
      </c>
      <c r="AF544" t="s">
        <v>74</v>
      </c>
      <c r="AG544">
        <v>49</v>
      </c>
      <c r="AH544">
        <v>11</v>
      </c>
      <c r="AI544">
        <v>11</v>
      </c>
      <c r="AJ544">
        <v>0</v>
      </c>
      <c r="AK544">
        <v>2</v>
      </c>
      <c r="AL544" t="s">
        <v>705</v>
      </c>
      <c r="AM544" t="s">
        <v>554</v>
      </c>
      <c r="AN544" t="s">
        <v>706</v>
      </c>
      <c r="AO544" t="s">
        <v>1379</v>
      </c>
      <c r="AP544" t="s">
        <v>74</v>
      </c>
      <c r="AQ544" t="s">
        <v>74</v>
      </c>
      <c r="AR544" t="s">
        <v>1380</v>
      </c>
      <c r="AS544" t="s">
        <v>1381</v>
      </c>
      <c r="AT544" t="s">
        <v>6460</v>
      </c>
      <c r="AU544">
        <v>1999</v>
      </c>
      <c r="AV544">
        <v>21</v>
      </c>
      <c r="AW544">
        <v>6</v>
      </c>
      <c r="AX544" t="s">
        <v>74</v>
      </c>
      <c r="AY544" t="s">
        <v>74</v>
      </c>
      <c r="AZ544" t="s">
        <v>74</v>
      </c>
      <c r="BA544" t="s">
        <v>74</v>
      </c>
      <c r="BB544">
        <v>410</v>
      </c>
      <c r="BC544">
        <v>416</v>
      </c>
      <c r="BD544" t="s">
        <v>74</v>
      </c>
      <c r="BE544" t="s">
        <v>7252</v>
      </c>
      <c r="BF544" t="str">
        <f>HYPERLINK("http://dx.doi.org/10.1007/s003000050381","http://dx.doi.org/10.1007/s003000050381")</f>
        <v>http://dx.doi.org/10.1007/s003000050381</v>
      </c>
      <c r="BG544" t="s">
        <v>74</v>
      </c>
      <c r="BH544" t="s">
        <v>74</v>
      </c>
      <c r="BI544">
        <v>7</v>
      </c>
      <c r="BJ544" t="s">
        <v>1383</v>
      </c>
      <c r="BK544" t="s">
        <v>96</v>
      </c>
      <c r="BL544" t="s">
        <v>1384</v>
      </c>
      <c r="BM544" t="s">
        <v>7187</v>
      </c>
      <c r="BN544" t="s">
        <v>74</v>
      </c>
      <c r="BO544" t="s">
        <v>74</v>
      </c>
      <c r="BP544" t="s">
        <v>74</v>
      </c>
      <c r="BQ544" t="s">
        <v>74</v>
      </c>
      <c r="BR544" t="s">
        <v>99</v>
      </c>
      <c r="BS544" t="s">
        <v>7253</v>
      </c>
      <c r="BT544" t="str">
        <f>HYPERLINK("https%3A%2F%2Fwww.webofscience.com%2Fwos%2Fwoscc%2Ffull-record%2FWOS:000080706800010","View Full Record in Web of Science")</f>
        <v>View Full Record in Web of Science</v>
      </c>
    </row>
    <row r="545" spans="1:72" x14ac:dyDescent="0.15">
      <c r="A545" t="s">
        <v>72</v>
      </c>
      <c r="B545" t="s">
        <v>7254</v>
      </c>
      <c r="C545" t="s">
        <v>74</v>
      </c>
      <c r="D545" t="s">
        <v>74</v>
      </c>
      <c r="E545" t="s">
        <v>74</v>
      </c>
      <c r="F545" t="s">
        <v>7254</v>
      </c>
      <c r="G545" t="s">
        <v>74</v>
      </c>
      <c r="H545" t="s">
        <v>74</v>
      </c>
      <c r="I545" t="s">
        <v>7255</v>
      </c>
      <c r="J545" t="s">
        <v>7256</v>
      </c>
      <c r="K545" t="s">
        <v>74</v>
      </c>
      <c r="L545" t="s">
        <v>74</v>
      </c>
      <c r="M545" t="s">
        <v>77</v>
      </c>
      <c r="N545" t="s">
        <v>78</v>
      </c>
      <c r="O545" t="s">
        <v>74</v>
      </c>
      <c r="P545" t="s">
        <v>74</v>
      </c>
      <c r="Q545" t="s">
        <v>74</v>
      </c>
      <c r="R545" t="s">
        <v>74</v>
      </c>
      <c r="S545" t="s">
        <v>74</v>
      </c>
      <c r="T545" t="s">
        <v>7257</v>
      </c>
      <c r="U545" t="s">
        <v>7258</v>
      </c>
      <c r="V545" t="s">
        <v>7259</v>
      </c>
      <c r="W545" t="s">
        <v>7260</v>
      </c>
      <c r="X545" t="s">
        <v>7261</v>
      </c>
      <c r="Y545" t="s">
        <v>7262</v>
      </c>
      <c r="Z545" t="s">
        <v>74</v>
      </c>
      <c r="AA545" t="s">
        <v>7263</v>
      </c>
      <c r="AB545" t="s">
        <v>7264</v>
      </c>
      <c r="AC545" t="s">
        <v>74</v>
      </c>
      <c r="AD545" t="s">
        <v>74</v>
      </c>
      <c r="AE545" t="s">
        <v>74</v>
      </c>
      <c r="AF545" t="s">
        <v>74</v>
      </c>
      <c r="AG545">
        <v>23</v>
      </c>
      <c r="AH545">
        <v>43</v>
      </c>
      <c r="AI545">
        <v>50</v>
      </c>
      <c r="AJ545">
        <v>2</v>
      </c>
      <c r="AK545">
        <v>15</v>
      </c>
      <c r="AL545" t="s">
        <v>3304</v>
      </c>
      <c r="AM545" t="s">
        <v>531</v>
      </c>
      <c r="AN545" t="s">
        <v>3305</v>
      </c>
      <c r="AO545" t="s">
        <v>7265</v>
      </c>
      <c r="AP545" t="s">
        <v>74</v>
      </c>
      <c r="AQ545" t="s">
        <v>74</v>
      </c>
      <c r="AR545" t="s">
        <v>7266</v>
      </c>
      <c r="AS545" t="s">
        <v>7267</v>
      </c>
      <c r="AT545" t="s">
        <v>6460</v>
      </c>
      <c r="AU545">
        <v>1999</v>
      </c>
      <c r="AV545">
        <v>23</v>
      </c>
      <c r="AW545">
        <v>2</v>
      </c>
      <c r="AX545" t="s">
        <v>74</v>
      </c>
      <c r="AY545" t="s">
        <v>74</v>
      </c>
      <c r="AZ545" t="s">
        <v>74</v>
      </c>
      <c r="BA545" t="s">
        <v>74</v>
      </c>
      <c r="BB545">
        <v>159</v>
      </c>
      <c r="BC545">
        <v>179</v>
      </c>
      <c r="BD545" t="s">
        <v>74</v>
      </c>
      <c r="BE545" t="s">
        <v>7268</v>
      </c>
      <c r="BF545" t="str">
        <f>HYPERLINK("http://dx.doi.org/10.1191/030913399671124903","http://dx.doi.org/10.1191/030913399671124903")</f>
        <v>http://dx.doi.org/10.1191/030913399671124903</v>
      </c>
      <c r="BG545" t="s">
        <v>74</v>
      </c>
      <c r="BH545" t="s">
        <v>74</v>
      </c>
      <c r="BI545">
        <v>21</v>
      </c>
      <c r="BJ545" t="s">
        <v>2151</v>
      </c>
      <c r="BK545" t="s">
        <v>96</v>
      </c>
      <c r="BL545" t="s">
        <v>2152</v>
      </c>
      <c r="BM545" t="s">
        <v>7269</v>
      </c>
      <c r="BN545" t="s">
        <v>74</v>
      </c>
      <c r="BO545" t="s">
        <v>74</v>
      </c>
      <c r="BP545" t="s">
        <v>74</v>
      </c>
      <c r="BQ545" t="s">
        <v>74</v>
      </c>
      <c r="BR545" t="s">
        <v>99</v>
      </c>
      <c r="BS545" t="s">
        <v>7270</v>
      </c>
      <c r="BT545" t="str">
        <f>HYPERLINK("https%3A%2F%2Fwww.webofscience.com%2Fwos%2Fwoscc%2Ffull-record%2FWOS:000080767800001","View Full Record in Web of Science")</f>
        <v>View Full Record in Web of Science</v>
      </c>
    </row>
    <row r="546" spans="1:72" x14ac:dyDescent="0.15">
      <c r="A546" t="s">
        <v>72</v>
      </c>
      <c r="B546" t="s">
        <v>7271</v>
      </c>
      <c r="C546" t="s">
        <v>74</v>
      </c>
      <c r="D546" t="s">
        <v>74</v>
      </c>
      <c r="E546" t="s">
        <v>74</v>
      </c>
      <c r="F546" t="s">
        <v>7271</v>
      </c>
      <c r="G546" t="s">
        <v>74</v>
      </c>
      <c r="H546" t="s">
        <v>74</v>
      </c>
      <c r="I546" t="s">
        <v>7272</v>
      </c>
      <c r="J546" t="s">
        <v>7273</v>
      </c>
      <c r="K546" t="s">
        <v>74</v>
      </c>
      <c r="L546" t="s">
        <v>74</v>
      </c>
      <c r="M546" t="s">
        <v>77</v>
      </c>
      <c r="N546" t="s">
        <v>78</v>
      </c>
      <c r="O546" t="s">
        <v>74</v>
      </c>
      <c r="P546" t="s">
        <v>74</v>
      </c>
      <c r="Q546" t="s">
        <v>74</v>
      </c>
      <c r="R546" t="s">
        <v>74</v>
      </c>
      <c r="S546" t="s">
        <v>74</v>
      </c>
      <c r="T546" t="s">
        <v>74</v>
      </c>
      <c r="U546" t="s">
        <v>7274</v>
      </c>
      <c r="V546" t="s">
        <v>7275</v>
      </c>
      <c r="W546" t="s">
        <v>7276</v>
      </c>
      <c r="X546" t="s">
        <v>5230</v>
      </c>
      <c r="Y546" t="s">
        <v>7277</v>
      </c>
      <c r="Z546" t="s">
        <v>7278</v>
      </c>
      <c r="AA546" t="s">
        <v>74</v>
      </c>
      <c r="AB546" t="s">
        <v>7279</v>
      </c>
      <c r="AC546" t="s">
        <v>74</v>
      </c>
      <c r="AD546" t="s">
        <v>74</v>
      </c>
      <c r="AE546" t="s">
        <v>74</v>
      </c>
      <c r="AF546" t="s">
        <v>74</v>
      </c>
      <c r="AG546">
        <v>22</v>
      </c>
      <c r="AH546">
        <v>19</v>
      </c>
      <c r="AI546">
        <v>19</v>
      </c>
      <c r="AJ546">
        <v>0</v>
      </c>
      <c r="AK546">
        <v>1</v>
      </c>
      <c r="AL546" t="s">
        <v>5676</v>
      </c>
      <c r="AM546" t="s">
        <v>5677</v>
      </c>
      <c r="AN546" t="s">
        <v>7280</v>
      </c>
      <c r="AO546" t="s">
        <v>7281</v>
      </c>
      <c r="AP546" t="s">
        <v>7282</v>
      </c>
      <c r="AQ546" t="s">
        <v>74</v>
      </c>
      <c r="AR546" t="s">
        <v>7283</v>
      </c>
      <c r="AS546" t="s">
        <v>7284</v>
      </c>
      <c r="AT546" t="s">
        <v>6460</v>
      </c>
      <c r="AU546">
        <v>1999</v>
      </c>
      <c r="AV546">
        <v>111</v>
      </c>
      <c r="AW546">
        <v>760</v>
      </c>
      <c r="AX546" t="s">
        <v>74</v>
      </c>
      <c r="AY546" t="s">
        <v>74</v>
      </c>
      <c r="AZ546" t="s">
        <v>74</v>
      </c>
      <c r="BA546" t="s">
        <v>74</v>
      </c>
      <c r="BB546">
        <v>765</v>
      </c>
      <c r="BC546">
        <v>771</v>
      </c>
      <c r="BD546" t="s">
        <v>74</v>
      </c>
      <c r="BE546" t="s">
        <v>7285</v>
      </c>
      <c r="BF546" t="str">
        <f>HYPERLINK("http://dx.doi.org/10.1086/316380","http://dx.doi.org/10.1086/316380")</f>
        <v>http://dx.doi.org/10.1086/316380</v>
      </c>
      <c r="BG546" t="s">
        <v>74</v>
      </c>
      <c r="BH546" t="s">
        <v>74</v>
      </c>
      <c r="BI546">
        <v>7</v>
      </c>
      <c r="BJ546" t="s">
        <v>1076</v>
      </c>
      <c r="BK546" t="s">
        <v>96</v>
      </c>
      <c r="BL546" t="s">
        <v>1076</v>
      </c>
      <c r="BM546" t="s">
        <v>7286</v>
      </c>
      <c r="BN546" t="s">
        <v>74</v>
      </c>
      <c r="BO546" t="s">
        <v>74</v>
      </c>
      <c r="BP546" t="s">
        <v>74</v>
      </c>
      <c r="BQ546" t="s">
        <v>74</v>
      </c>
      <c r="BR546" t="s">
        <v>99</v>
      </c>
      <c r="BS546" t="s">
        <v>7287</v>
      </c>
      <c r="BT546" t="str">
        <f>HYPERLINK("https%3A%2F%2Fwww.webofscience.com%2Fwos%2Fwoscc%2Ffull-record%2FWOS:000080965700012","View Full Record in Web of Science")</f>
        <v>View Full Record in Web of Science</v>
      </c>
    </row>
    <row r="547" spans="1:72" x14ac:dyDescent="0.15">
      <c r="A547" t="s">
        <v>72</v>
      </c>
      <c r="B547" t="s">
        <v>7288</v>
      </c>
      <c r="C547" t="s">
        <v>74</v>
      </c>
      <c r="D547" t="s">
        <v>74</v>
      </c>
      <c r="E547" t="s">
        <v>74</v>
      </c>
      <c r="F547" t="s">
        <v>7288</v>
      </c>
      <c r="G547" t="s">
        <v>74</v>
      </c>
      <c r="H547" t="s">
        <v>74</v>
      </c>
      <c r="I547" t="s">
        <v>7289</v>
      </c>
      <c r="J547" t="s">
        <v>7290</v>
      </c>
      <c r="K547" t="s">
        <v>74</v>
      </c>
      <c r="L547" t="s">
        <v>74</v>
      </c>
      <c r="M547" t="s">
        <v>77</v>
      </c>
      <c r="N547" t="s">
        <v>123</v>
      </c>
      <c r="O547" t="s">
        <v>7291</v>
      </c>
      <c r="P547" t="s">
        <v>7292</v>
      </c>
      <c r="Q547" t="s">
        <v>7293</v>
      </c>
      <c r="R547" t="s">
        <v>74</v>
      </c>
      <c r="S547" t="s">
        <v>74</v>
      </c>
      <c r="T547" t="s">
        <v>7294</v>
      </c>
      <c r="U547" t="s">
        <v>7295</v>
      </c>
      <c r="V547" t="s">
        <v>7296</v>
      </c>
      <c r="W547" t="s">
        <v>7297</v>
      </c>
      <c r="X547" t="s">
        <v>7298</v>
      </c>
      <c r="Y547" t="s">
        <v>7299</v>
      </c>
      <c r="Z547" t="s">
        <v>74</v>
      </c>
      <c r="AA547" t="s">
        <v>7300</v>
      </c>
      <c r="AB547" t="s">
        <v>74</v>
      </c>
      <c r="AC547" t="s">
        <v>74</v>
      </c>
      <c r="AD547" t="s">
        <v>74</v>
      </c>
      <c r="AE547" t="s">
        <v>74</v>
      </c>
      <c r="AF547" t="s">
        <v>74</v>
      </c>
      <c r="AG547">
        <v>13</v>
      </c>
      <c r="AH547">
        <v>5</v>
      </c>
      <c r="AI547">
        <v>6</v>
      </c>
      <c r="AJ547">
        <v>0</v>
      </c>
      <c r="AK547">
        <v>1</v>
      </c>
      <c r="AL547" t="s">
        <v>275</v>
      </c>
      <c r="AM547" t="s">
        <v>276</v>
      </c>
      <c r="AN547" t="s">
        <v>277</v>
      </c>
      <c r="AO547" t="s">
        <v>7301</v>
      </c>
      <c r="AP547" t="s">
        <v>74</v>
      </c>
      <c r="AQ547" t="s">
        <v>74</v>
      </c>
      <c r="AR547" t="s">
        <v>7302</v>
      </c>
      <c r="AS547" t="s">
        <v>7303</v>
      </c>
      <c r="AT547" t="s">
        <v>6460</v>
      </c>
      <c r="AU547">
        <v>1999</v>
      </c>
      <c r="AV547">
        <v>31</v>
      </c>
      <c r="AW547" t="s">
        <v>7304</v>
      </c>
      <c r="AX547" t="s">
        <v>74</v>
      </c>
      <c r="AY547" t="s">
        <v>74</v>
      </c>
      <c r="AZ547" t="s">
        <v>4033</v>
      </c>
      <c r="BA547" t="s">
        <v>74</v>
      </c>
      <c r="BB547">
        <v>621</v>
      </c>
      <c r="BC547">
        <v>626</v>
      </c>
      <c r="BD547" t="s">
        <v>74</v>
      </c>
      <c r="BE547" t="s">
        <v>7305</v>
      </c>
      <c r="BF547" t="str">
        <f>HYPERLINK("http://dx.doi.org/10.1016/S1350-4487(99)00154-7","http://dx.doi.org/10.1016/S1350-4487(99)00154-7")</f>
        <v>http://dx.doi.org/10.1016/S1350-4487(99)00154-7</v>
      </c>
      <c r="BG547" t="s">
        <v>74</v>
      </c>
      <c r="BH547" t="s">
        <v>74</v>
      </c>
      <c r="BI547">
        <v>6</v>
      </c>
      <c r="BJ547" t="s">
        <v>7306</v>
      </c>
      <c r="BK547" t="s">
        <v>143</v>
      </c>
      <c r="BL547" t="s">
        <v>7306</v>
      </c>
      <c r="BM547" t="s">
        <v>7307</v>
      </c>
      <c r="BN547" t="s">
        <v>74</v>
      </c>
      <c r="BO547" t="s">
        <v>74</v>
      </c>
      <c r="BP547" t="s">
        <v>74</v>
      </c>
      <c r="BQ547" t="s">
        <v>74</v>
      </c>
      <c r="BR547" t="s">
        <v>99</v>
      </c>
      <c r="BS547" t="s">
        <v>7308</v>
      </c>
      <c r="BT547" t="str">
        <f>HYPERLINK("https%3A%2F%2Fwww.webofscience.com%2Fwos%2Fwoscc%2Ffull-record%2FWOS:000081997700119","View Full Record in Web of Science")</f>
        <v>View Full Record in Web of Science</v>
      </c>
    </row>
    <row r="548" spans="1:72" x14ac:dyDescent="0.15">
      <c r="A548" t="s">
        <v>72</v>
      </c>
      <c r="B548" t="s">
        <v>7309</v>
      </c>
      <c r="C548" t="s">
        <v>74</v>
      </c>
      <c r="D548" t="s">
        <v>74</v>
      </c>
      <c r="E548" t="s">
        <v>74</v>
      </c>
      <c r="F548" t="s">
        <v>7309</v>
      </c>
      <c r="G548" t="s">
        <v>74</v>
      </c>
      <c r="H548" t="s">
        <v>74</v>
      </c>
      <c r="I548" t="s">
        <v>7310</v>
      </c>
      <c r="J548" t="s">
        <v>7290</v>
      </c>
      <c r="K548" t="s">
        <v>74</v>
      </c>
      <c r="L548" t="s">
        <v>74</v>
      </c>
      <c r="M548" t="s">
        <v>77</v>
      </c>
      <c r="N548" t="s">
        <v>123</v>
      </c>
      <c r="O548" t="s">
        <v>7311</v>
      </c>
      <c r="P548" t="s">
        <v>7312</v>
      </c>
      <c r="Q548" t="s">
        <v>7313</v>
      </c>
      <c r="R548" t="s">
        <v>74</v>
      </c>
      <c r="S548" t="s">
        <v>7314</v>
      </c>
      <c r="T548" t="s">
        <v>7315</v>
      </c>
      <c r="U548" t="s">
        <v>7316</v>
      </c>
      <c r="V548" t="s">
        <v>7317</v>
      </c>
      <c r="W548" t="s">
        <v>7318</v>
      </c>
      <c r="X548" t="s">
        <v>7319</v>
      </c>
      <c r="Y548" t="s">
        <v>7320</v>
      </c>
      <c r="Z548" t="s">
        <v>74</v>
      </c>
      <c r="AA548" t="s">
        <v>74</v>
      </c>
      <c r="AB548" t="s">
        <v>74</v>
      </c>
      <c r="AC548" t="s">
        <v>74</v>
      </c>
      <c r="AD548" t="s">
        <v>74</v>
      </c>
      <c r="AE548" t="s">
        <v>74</v>
      </c>
      <c r="AF548" t="s">
        <v>74</v>
      </c>
      <c r="AG548">
        <v>21</v>
      </c>
      <c r="AH548">
        <v>13</v>
      </c>
      <c r="AI548">
        <v>15</v>
      </c>
      <c r="AJ548">
        <v>0</v>
      </c>
      <c r="AK548">
        <v>2</v>
      </c>
      <c r="AL548" t="s">
        <v>275</v>
      </c>
      <c r="AM548" t="s">
        <v>276</v>
      </c>
      <c r="AN548" t="s">
        <v>277</v>
      </c>
      <c r="AO548" t="s">
        <v>7301</v>
      </c>
      <c r="AP548" t="s">
        <v>74</v>
      </c>
      <c r="AQ548" t="s">
        <v>74</v>
      </c>
      <c r="AR548" t="s">
        <v>7302</v>
      </c>
      <c r="AS548" t="s">
        <v>7303</v>
      </c>
      <c r="AT548" t="s">
        <v>6460</v>
      </c>
      <c r="AU548">
        <v>1999</v>
      </c>
      <c r="AV548">
        <v>30</v>
      </c>
      <c r="AW548">
        <v>3</v>
      </c>
      <c r="AX548" t="s">
        <v>74</v>
      </c>
      <c r="AY548" t="s">
        <v>74</v>
      </c>
      <c r="AZ548" t="s">
        <v>74</v>
      </c>
      <c r="BA548" t="s">
        <v>74</v>
      </c>
      <c r="BB548">
        <v>309</v>
      </c>
      <c r="BC548">
        <v>316</v>
      </c>
      <c r="BD548" t="s">
        <v>74</v>
      </c>
      <c r="BE548" t="s">
        <v>7321</v>
      </c>
      <c r="BF548" t="str">
        <f>HYPERLINK("http://dx.doi.org/10.1016/S1350-4487(99)00057-8","http://dx.doi.org/10.1016/S1350-4487(99)00057-8")</f>
        <v>http://dx.doi.org/10.1016/S1350-4487(99)00057-8</v>
      </c>
      <c r="BG548" t="s">
        <v>74</v>
      </c>
      <c r="BH548" t="s">
        <v>74</v>
      </c>
      <c r="BI548">
        <v>8</v>
      </c>
      <c r="BJ548" t="s">
        <v>7306</v>
      </c>
      <c r="BK548" t="s">
        <v>143</v>
      </c>
      <c r="BL548" t="s">
        <v>7306</v>
      </c>
      <c r="BM548" t="s">
        <v>7322</v>
      </c>
      <c r="BN548">
        <v>11543137</v>
      </c>
      <c r="BO548" t="s">
        <v>74</v>
      </c>
      <c r="BP548" t="s">
        <v>74</v>
      </c>
      <c r="BQ548" t="s">
        <v>74</v>
      </c>
      <c r="BR548" t="s">
        <v>99</v>
      </c>
      <c r="BS548" t="s">
        <v>7323</v>
      </c>
      <c r="BT548" t="str">
        <f>HYPERLINK("https%3A%2F%2Fwww.webofscience.com%2Fwos%2Fwoscc%2Ffull-record%2FWOS:000083671000011","View Full Record in Web of Science")</f>
        <v>View Full Record in Web of Science</v>
      </c>
    </row>
    <row r="549" spans="1:72" x14ac:dyDescent="0.15">
      <c r="A549" t="s">
        <v>72</v>
      </c>
      <c r="B549" t="s">
        <v>7324</v>
      </c>
      <c r="C549" t="s">
        <v>74</v>
      </c>
      <c r="D549" t="s">
        <v>74</v>
      </c>
      <c r="E549" t="s">
        <v>74</v>
      </c>
      <c r="F549" t="s">
        <v>7324</v>
      </c>
      <c r="G549" t="s">
        <v>74</v>
      </c>
      <c r="H549" t="s">
        <v>74</v>
      </c>
      <c r="I549" t="s">
        <v>7325</v>
      </c>
      <c r="J549" t="s">
        <v>7326</v>
      </c>
      <c r="K549" t="s">
        <v>74</v>
      </c>
      <c r="L549" t="s">
        <v>74</v>
      </c>
      <c r="M549" t="s">
        <v>77</v>
      </c>
      <c r="N549" t="s">
        <v>78</v>
      </c>
      <c r="O549" t="s">
        <v>74</v>
      </c>
      <c r="P549" t="s">
        <v>74</v>
      </c>
      <c r="Q549" t="s">
        <v>74</v>
      </c>
      <c r="R549" t="s">
        <v>74</v>
      </c>
      <c r="S549" t="s">
        <v>74</v>
      </c>
      <c r="T549" t="s">
        <v>7327</v>
      </c>
      <c r="U549" t="s">
        <v>7328</v>
      </c>
      <c r="V549" t="s">
        <v>7329</v>
      </c>
      <c r="W549" t="s">
        <v>7330</v>
      </c>
      <c r="X549" t="s">
        <v>7331</v>
      </c>
      <c r="Y549" t="s">
        <v>7332</v>
      </c>
      <c r="Z549" t="s">
        <v>74</v>
      </c>
      <c r="AA549" t="s">
        <v>7333</v>
      </c>
      <c r="AB549" t="s">
        <v>7334</v>
      </c>
      <c r="AC549" t="s">
        <v>74</v>
      </c>
      <c r="AD549" t="s">
        <v>74</v>
      </c>
      <c r="AE549" t="s">
        <v>74</v>
      </c>
      <c r="AF549" t="s">
        <v>74</v>
      </c>
      <c r="AG549">
        <v>22</v>
      </c>
      <c r="AH549">
        <v>1</v>
      </c>
      <c r="AI549">
        <v>1</v>
      </c>
      <c r="AJ549">
        <v>0</v>
      </c>
      <c r="AK549">
        <v>2</v>
      </c>
      <c r="AL549" t="s">
        <v>7335</v>
      </c>
      <c r="AM549" t="s">
        <v>7336</v>
      </c>
      <c r="AN549" t="s">
        <v>7337</v>
      </c>
      <c r="AO549" t="s">
        <v>7338</v>
      </c>
      <c r="AP549" t="s">
        <v>74</v>
      </c>
      <c r="AQ549" t="s">
        <v>74</v>
      </c>
      <c r="AR549" t="s">
        <v>7339</v>
      </c>
      <c r="AS549" t="s">
        <v>7340</v>
      </c>
      <c r="AT549" t="s">
        <v>6460</v>
      </c>
      <c r="AU549">
        <v>1999</v>
      </c>
      <c r="AV549">
        <v>63</v>
      </c>
      <c r="AW549">
        <v>2</v>
      </c>
      <c r="AX549" t="s">
        <v>74</v>
      </c>
      <c r="AY549" t="s">
        <v>74</v>
      </c>
      <c r="AZ549" t="s">
        <v>74</v>
      </c>
      <c r="BA549" t="s">
        <v>74</v>
      </c>
      <c r="BB549">
        <v>121</v>
      </c>
      <c r="BC549">
        <v>127</v>
      </c>
      <c r="BD549" t="s">
        <v>74</v>
      </c>
      <c r="BE549" t="s">
        <v>7341</v>
      </c>
      <c r="BF549" t="str">
        <f>HYPERLINK("http://dx.doi.org/10.3989/scimar.1999.63n2121","http://dx.doi.org/10.3989/scimar.1999.63n2121")</f>
        <v>http://dx.doi.org/10.3989/scimar.1999.63n2121</v>
      </c>
      <c r="BG549" t="s">
        <v>74</v>
      </c>
      <c r="BH549" t="s">
        <v>74</v>
      </c>
      <c r="BI549">
        <v>7</v>
      </c>
      <c r="BJ549" t="s">
        <v>1229</v>
      </c>
      <c r="BK549" t="s">
        <v>96</v>
      </c>
      <c r="BL549" t="s">
        <v>1229</v>
      </c>
      <c r="BM549" t="s">
        <v>7342</v>
      </c>
      <c r="BN549" t="s">
        <v>74</v>
      </c>
      <c r="BO549" t="s">
        <v>7343</v>
      </c>
      <c r="BP549" t="s">
        <v>74</v>
      </c>
      <c r="BQ549" t="s">
        <v>74</v>
      </c>
      <c r="BR549" t="s">
        <v>99</v>
      </c>
      <c r="BS549" t="s">
        <v>7344</v>
      </c>
      <c r="BT549" t="str">
        <f>HYPERLINK("https%3A%2F%2Fwww.webofscience.com%2Fwos%2Fwoscc%2Ffull-record%2FWOS:000081895400003","View Full Record in Web of Science")</f>
        <v>View Full Record in Web of Science</v>
      </c>
    </row>
    <row r="550" spans="1:72" x14ac:dyDescent="0.15">
      <c r="A550" t="s">
        <v>72</v>
      </c>
      <c r="B550" t="s">
        <v>7345</v>
      </c>
      <c r="C550" t="s">
        <v>74</v>
      </c>
      <c r="D550" t="s">
        <v>74</v>
      </c>
      <c r="E550" t="s">
        <v>74</v>
      </c>
      <c r="F550" t="s">
        <v>7345</v>
      </c>
      <c r="G550" t="s">
        <v>74</v>
      </c>
      <c r="H550" t="s">
        <v>74</v>
      </c>
      <c r="I550" t="s">
        <v>7346</v>
      </c>
      <c r="J550" t="s">
        <v>7347</v>
      </c>
      <c r="K550" t="s">
        <v>74</v>
      </c>
      <c r="L550" t="s">
        <v>74</v>
      </c>
      <c r="M550" t="s">
        <v>77</v>
      </c>
      <c r="N550" t="s">
        <v>78</v>
      </c>
      <c r="O550" t="s">
        <v>74</v>
      </c>
      <c r="P550" t="s">
        <v>74</v>
      </c>
      <c r="Q550" t="s">
        <v>74</v>
      </c>
      <c r="R550" t="s">
        <v>74</v>
      </c>
      <c r="S550" t="s">
        <v>74</v>
      </c>
      <c r="T550" t="s">
        <v>7348</v>
      </c>
      <c r="U550" t="s">
        <v>7349</v>
      </c>
      <c r="V550" t="s">
        <v>7350</v>
      </c>
      <c r="W550" t="s">
        <v>151</v>
      </c>
      <c r="X550" t="s">
        <v>131</v>
      </c>
      <c r="Y550" t="s">
        <v>7351</v>
      </c>
      <c r="Z550" t="s">
        <v>7352</v>
      </c>
      <c r="AA550" t="s">
        <v>74</v>
      </c>
      <c r="AB550" t="s">
        <v>3059</v>
      </c>
      <c r="AC550" t="s">
        <v>74</v>
      </c>
      <c r="AD550" t="s">
        <v>74</v>
      </c>
      <c r="AE550" t="s">
        <v>74</v>
      </c>
      <c r="AF550" t="s">
        <v>74</v>
      </c>
      <c r="AG550">
        <v>82</v>
      </c>
      <c r="AH550">
        <v>22</v>
      </c>
      <c r="AI550">
        <v>24</v>
      </c>
      <c r="AJ550">
        <v>0</v>
      </c>
      <c r="AK550">
        <v>6</v>
      </c>
      <c r="AL550" t="s">
        <v>863</v>
      </c>
      <c r="AM550" t="s">
        <v>276</v>
      </c>
      <c r="AN550" t="s">
        <v>864</v>
      </c>
      <c r="AO550" t="s">
        <v>7353</v>
      </c>
      <c r="AP550" t="s">
        <v>74</v>
      </c>
      <c r="AQ550" t="s">
        <v>74</v>
      </c>
      <c r="AR550" t="s">
        <v>7347</v>
      </c>
      <c r="AS550" t="s">
        <v>7354</v>
      </c>
      <c r="AT550" t="s">
        <v>6460</v>
      </c>
      <c r="AU550">
        <v>1999</v>
      </c>
      <c r="AV550">
        <v>46</v>
      </c>
      <c r="AW550">
        <v>3</v>
      </c>
      <c r="AX550" t="s">
        <v>74</v>
      </c>
      <c r="AY550" t="s">
        <v>74</v>
      </c>
      <c r="AZ550" t="s">
        <v>74</v>
      </c>
      <c r="BA550" t="s">
        <v>74</v>
      </c>
      <c r="BB550">
        <v>477</v>
      </c>
      <c r="BC550">
        <v>504</v>
      </c>
      <c r="BD550" t="s">
        <v>74</v>
      </c>
      <c r="BE550" t="s">
        <v>7355</v>
      </c>
      <c r="BF550" t="str">
        <f>HYPERLINK("http://dx.doi.org/10.1046/j.1365-3091.1999.00225.x","http://dx.doi.org/10.1046/j.1365-3091.1999.00225.x")</f>
        <v>http://dx.doi.org/10.1046/j.1365-3091.1999.00225.x</v>
      </c>
      <c r="BG550" t="s">
        <v>74</v>
      </c>
      <c r="BH550" t="s">
        <v>74</v>
      </c>
      <c r="BI550">
        <v>28</v>
      </c>
      <c r="BJ550" t="s">
        <v>388</v>
      </c>
      <c r="BK550" t="s">
        <v>96</v>
      </c>
      <c r="BL550" t="s">
        <v>388</v>
      </c>
      <c r="BM550" t="s">
        <v>7356</v>
      </c>
      <c r="BN550" t="s">
        <v>74</v>
      </c>
      <c r="BO550" t="s">
        <v>74</v>
      </c>
      <c r="BP550" t="s">
        <v>74</v>
      </c>
      <c r="BQ550" t="s">
        <v>74</v>
      </c>
      <c r="BR550" t="s">
        <v>99</v>
      </c>
      <c r="BS550" t="s">
        <v>7357</v>
      </c>
      <c r="BT550" t="str">
        <f>HYPERLINK("https%3A%2F%2Fwww.webofscience.com%2Fwos%2Fwoscc%2Ffull-record%2FWOS:000081330700006","View Full Record in Web of Science")</f>
        <v>View Full Record in Web of Science</v>
      </c>
    </row>
    <row r="551" spans="1:72" x14ac:dyDescent="0.15">
      <c r="A551" t="s">
        <v>72</v>
      </c>
      <c r="B551" t="s">
        <v>701</v>
      </c>
      <c r="C551" t="s">
        <v>74</v>
      </c>
      <c r="D551" t="s">
        <v>74</v>
      </c>
      <c r="E551" t="s">
        <v>74</v>
      </c>
      <c r="F551" t="s">
        <v>701</v>
      </c>
      <c r="G551" t="s">
        <v>74</v>
      </c>
      <c r="H551" t="s">
        <v>74</v>
      </c>
      <c r="I551" t="s">
        <v>7358</v>
      </c>
      <c r="J551" t="s">
        <v>7359</v>
      </c>
      <c r="K551" t="s">
        <v>74</v>
      </c>
      <c r="L551" t="s">
        <v>74</v>
      </c>
      <c r="M551" t="s">
        <v>77</v>
      </c>
      <c r="N551" t="s">
        <v>1187</v>
      </c>
      <c r="O551" t="s">
        <v>74</v>
      </c>
      <c r="P551" t="s">
        <v>74</v>
      </c>
      <c r="Q551" t="s">
        <v>74</v>
      </c>
      <c r="R551" t="s">
        <v>74</v>
      </c>
      <c r="S551" t="s">
        <v>74</v>
      </c>
      <c r="T551" t="s">
        <v>74</v>
      </c>
      <c r="U551" t="s">
        <v>74</v>
      </c>
      <c r="V551" t="s">
        <v>74</v>
      </c>
      <c r="W551" t="s">
        <v>74</v>
      </c>
      <c r="X551" t="s">
        <v>74</v>
      </c>
      <c r="Y551" t="s">
        <v>74</v>
      </c>
      <c r="Z551" t="s">
        <v>74</v>
      </c>
      <c r="AA551" t="s">
        <v>74</v>
      </c>
      <c r="AB551" t="s">
        <v>74</v>
      </c>
      <c r="AC551" t="s">
        <v>74</v>
      </c>
      <c r="AD551" t="s">
        <v>74</v>
      </c>
      <c r="AE551" t="s">
        <v>74</v>
      </c>
      <c r="AF551" t="s">
        <v>74</v>
      </c>
      <c r="AG551">
        <v>1</v>
      </c>
      <c r="AH551">
        <v>0</v>
      </c>
      <c r="AI551">
        <v>0</v>
      </c>
      <c r="AJ551">
        <v>0</v>
      </c>
      <c r="AK551">
        <v>1</v>
      </c>
      <c r="AL551" t="s">
        <v>7360</v>
      </c>
      <c r="AM551" t="s">
        <v>7361</v>
      </c>
      <c r="AN551" t="s">
        <v>7362</v>
      </c>
      <c r="AO551" t="s">
        <v>7363</v>
      </c>
      <c r="AP551" t="s">
        <v>74</v>
      </c>
      <c r="AQ551" t="s">
        <v>74</v>
      </c>
      <c r="AR551" t="s">
        <v>7364</v>
      </c>
      <c r="AS551" t="s">
        <v>7365</v>
      </c>
      <c r="AT551" t="s">
        <v>7366</v>
      </c>
      <c r="AU551">
        <v>1999</v>
      </c>
      <c r="AV551">
        <v>75</v>
      </c>
      <c r="AW551">
        <v>3</v>
      </c>
      <c r="AX551" t="s">
        <v>74</v>
      </c>
      <c r="AY551" t="s">
        <v>74</v>
      </c>
      <c r="AZ551" t="s">
        <v>74</v>
      </c>
      <c r="BA551" t="s">
        <v>74</v>
      </c>
      <c r="BB551">
        <v>93</v>
      </c>
      <c r="BC551">
        <v>93</v>
      </c>
      <c r="BD551" t="s">
        <v>74</v>
      </c>
      <c r="BE551" t="s">
        <v>74</v>
      </c>
      <c r="BF551" t="s">
        <v>74</v>
      </c>
      <c r="BG551" t="s">
        <v>74</v>
      </c>
      <c r="BH551" t="s">
        <v>74</v>
      </c>
      <c r="BI551">
        <v>1</v>
      </c>
      <c r="BJ551" t="s">
        <v>7367</v>
      </c>
      <c r="BK551" t="s">
        <v>1281</v>
      </c>
      <c r="BL551" t="s">
        <v>7368</v>
      </c>
      <c r="BM551" t="s">
        <v>7369</v>
      </c>
      <c r="BN551" t="s">
        <v>74</v>
      </c>
      <c r="BO551" t="s">
        <v>74</v>
      </c>
      <c r="BP551" t="s">
        <v>74</v>
      </c>
      <c r="BQ551" t="s">
        <v>74</v>
      </c>
      <c r="BR551" t="s">
        <v>99</v>
      </c>
      <c r="BS551" t="s">
        <v>7370</v>
      </c>
      <c r="BT551" t="str">
        <f>HYPERLINK("https%3A%2F%2Fwww.webofscience.com%2Fwos%2Fwoscc%2Ffull-record%2FWOS:000081251700042","View Full Record in Web of Science")</f>
        <v>View Full Record in Web of Science</v>
      </c>
    </row>
    <row r="552" spans="1:72" x14ac:dyDescent="0.15">
      <c r="A552" t="s">
        <v>72</v>
      </c>
      <c r="B552" t="s">
        <v>7371</v>
      </c>
      <c r="C552" t="s">
        <v>74</v>
      </c>
      <c r="D552" t="s">
        <v>74</v>
      </c>
      <c r="E552" t="s">
        <v>74</v>
      </c>
      <c r="F552" t="s">
        <v>7371</v>
      </c>
      <c r="G552" t="s">
        <v>74</v>
      </c>
      <c r="H552" t="s">
        <v>74</v>
      </c>
      <c r="I552" t="s">
        <v>7372</v>
      </c>
      <c r="J552" t="s">
        <v>7373</v>
      </c>
      <c r="K552" t="s">
        <v>74</v>
      </c>
      <c r="L552" t="s">
        <v>74</v>
      </c>
      <c r="M552" t="s">
        <v>77</v>
      </c>
      <c r="N552" t="s">
        <v>78</v>
      </c>
      <c r="O552" t="s">
        <v>74</v>
      </c>
      <c r="P552" t="s">
        <v>74</v>
      </c>
      <c r="Q552" t="s">
        <v>74</v>
      </c>
      <c r="R552" t="s">
        <v>74</v>
      </c>
      <c r="S552" t="s">
        <v>74</v>
      </c>
      <c r="T552" t="s">
        <v>7374</v>
      </c>
      <c r="U552" t="s">
        <v>7375</v>
      </c>
      <c r="V552" t="s">
        <v>7376</v>
      </c>
      <c r="W552" t="s">
        <v>7377</v>
      </c>
      <c r="X552" t="s">
        <v>7378</v>
      </c>
      <c r="Y552" t="s">
        <v>7379</v>
      </c>
      <c r="Z552" t="s">
        <v>74</v>
      </c>
      <c r="AA552" t="s">
        <v>74</v>
      </c>
      <c r="AB552" t="s">
        <v>74</v>
      </c>
      <c r="AC552" t="s">
        <v>74</v>
      </c>
      <c r="AD552" t="s">
        <v>74</v>
      </c>
      <c r="AE552" t="s">
        <v>74</v>
      </c>
      <c r="AF552" t="s">
        <v>74</v>
      </c>
      <c r="AG552">
        <v>20</v>
      </c>
      <c r="AH552">
        <v>16</v>
      </c>
      <c r="AI552">
        <v>18</v>
      </c>
      <c r="AJ552">
        <v>0</v>
      </c>
      <c r="AK552">
        <v>5</v>
      </c>
      <c r="AL552" t="s">
        <v>7380</v>
      </c>
      <c r="AM552" t="s">
        <v>1290</v>
      </c>
      <c r="AN552" t="s">
        <v>7381</v>
      </c>
      <c r="AO552" t="s">
        <v>7382</v>
      </c>
      <c r="AP552" t="s">
        <v>74</v>
      </c>
      <c r="AQ552" t="s">
        <v>74</v>
      </c>
      <c r="AR552" t="s">
        <v>7383</v>
      </c>
      <c r="AS552" t="s">
        <v>7384</v>
      </c>
      <c r="AT552" t="s">
        <v>7366</v>
      </c>
      <c r="AU552">
        <v>1999</v>
      </c>
      <c r="AV552">
        <v>27</v>
      </c>
      <c r="AW552">
        <v>2</v>
      </c>
      <c r="AX552" t="s">
        <v>74</v>
      </c>
      <c r="AY552" t="s">
        <v>74</v>
      </c>
      <c r="AZ552" t="s">
        <v>74</v>
      </c>
      <c r="BA552" t="s">
        <v>74</v>
      </c>
      <c r="BB552">
        <v>330</v>
      </c>
      <c r="BC552">
        <v>336</v>
      </c>
      <c r="BD552" t="s">
        <v>74</v>
      </c>
      <c r="BE552" t="s">
        <v>74</v>
      </c>
      <c r="BF552" t="s">
        <v>74</v>
      </c>
      <c r="BG552" t="s">
        <v>74</v>
      </c>
      <c r="BH552" t="s">
        <v>74</v>
      </c>
      <c r="BI552">
        <v>7</v>
      </c>
      <c r="BJ552" t="s">
        <v>7385</v>
      </c>
      <c r="BK552" t="s">
        <v>96</v>
      </c>
      <c r="BL552" t="s">
        <v>7386</v>
      </c>
      <c r="BM552" t="s">
        <v>7387</v>
      </c>
      <c r="BN552" t="s">
        <v>74</v>
      </c>
      <c r="BO552" t="s">
        <v>74</v>
      </c>
      <c r="BP552" t="s">
        <v>74</v>
      </c>
      <c r="BQ552" t="s">
        <v>74</v>
      </c>
      <c r="BR552" t="s">
        <v>99</v>
      </c>
      <c r="BS552" t="s">
        <v>7388</v>
      </c>
      <c r="BT552" t="str">
        <f>HYPERLINK("https%3A%2F%2Fwww.webofscience.com%2Fwos%2Fwoscc%2Ffull-record%2FWOS:000082792300014","View Full Record in Web of Science")</f>
        <v>View Full Record in Web of Science</v>
      </c>
    </row>
    <row r="553" spans="1:72" x14ac:dyDescent="0.15">
      <c r="A553" t="s">
        <v>72</v>
      </c>
      <c r="B553" t="s">
        <v>7389</v>
      </c>
      <c r="C553" t="s">
        <v>74</v>
      </c>
      <c r="D553" t="s">
        <v>74</v>
      </c>
      <c r="E553" t="s">
        <v>74</v>
      </c>
      <c r="F553" t="s">
        <v>7389</v>
      </c>
      <c r="G553" t="s">
        <v>74</v>
      </c>
      <c r="H553" t="s">
        <v>74</v>
      </c>
      <c r="I553" t="s">
        <v>7390</v>
      </c>
      <c r="J553" t="s">
        <v>1600</v>
      </c>
      <c r="K553" t="s">
        <v>74</v>
      </c>
      <c r="L553" t="s">
        <v>74</v>
      </c>
      <c r="M553" t="s">
        <v>77</v>
      </c>
      <c r="N553" t="s">
        <v>78</v>
      </c>
      <c r="O553" t="s">
        <v>74</v>
      </c>
      <c r="P553" t="s">
        <v>74</v>
      </c>
      <c r="Q553" t="s">
        <v>74</v>
      </c>
      <c r="R553" t="s">
        <v>74</v>
      </c>
      <c r="S553" t="s">
        <v>74</v>
      </c>
      <c r="T553" t="s">
        <v>7391</v>
      </c>
      <c r="U553" t="s">
        <v>7392</v>
      </c>
      <c r="V553" t="s">
        <v>7393</v>
      </c>
      <c r="W553" t="s">
        <v>7394</v>
      </c>
      <c r="X553" t="s">
        <v>7395</v>
      </c>
      <c r="Y553" t="s">
        <v>7396</v>
      </c>
      <c r="Z553" t="s">
        <v>74</v>
      </c>
      <c r="AA553" t="s">
        <v>7397</v>
      </c>
      <c r="AB553" t="s">
        <v>7398</v>
      </c>
      <c r="AC553" t="s">
        <v>74</v>
      </c>
      <c r="AD553" t="s">
        <v>74</v>
      </c>
      <c r="AE553" t="s">
        <v>74</v>
      </c>
      <c r="AF553" t="s">
        <v>74</v>
      </c>
      <c r="AG553">
        <v>59</v>
      </c>
      <c r="AH553">
        <v>42</v>
      </c>
      <c r="AI553">
        <v>43</v>
      </c>
      <c r="AJ553">
        <v>2</v>
      </c>
      <c r="AK553">
        <v>36</v>
      </c>
      <c r="AL553" t="s">
        <v>210</v>
      </c>
      <c r="AM553" t="s">
        <v>211</v>
      </c>
      <c r="AN553" t="s">
        <v>212</v>
      </c>
      <c r="AO553" t="s">
        <v>1609</v>
      </c>
      <c r="AP553" t="s">
        <v>74</v>
      </c>
      <c r="AQ553" t="s">
        <v>74</v>
      </c>
      <c r="AR553" t="s">
        <v>1611</v>
      </c>
      <c r="AS553" t="s">
        <v>1612</v>
      </c>
      <c r="AT553" t="s">
        <v>7399</v>
      </c>
      <c r="AU553">
        <v>1999</v>
      </c>
      <c r="AV553">
        <v>169</v>
      </c>
      <c r="AW553" t="s">
        <v>1614</v>
      </c>
      <c r="AX553" t="s">
        <v>74</v>
      </c>
      <c r="AY553" t="s">
        <v>74</v>
      </c>
      <c r="AZ553" t="s">
        <v>74</v>
      </c>
      <c r="BA553" t="s">
        <v>74</v>
      </c>
      <c r="BB553">
        <v>113</v>
      </c>
      <c r="BC553">
        <v>128</v>
      </c>
      <c r="BD553" t="s">
        <v>74</v>
      </c>
      <c r="BE553" t="s">
        <v>7400</v>
      </c>
      <c r="BF553" t="str">
        <f>HYPERLINK("http://dx.doi.org/10.1016/S0012-821X(99)00070-9","http://dx.doi.org/10.1016/S0012-821X(99)00070-9")</f>
        <v>http://dx.doi.org/10.1016/S0012-821X(99)00070-9</v>
      </c>
      <c r="BG553" t="s">
        <v>74</v>
      </c>
      <c r="BH553" t="s">
        <v>74</v>
      </c>
      <c r="BI553">
        <v>16</v>
      </c>
      <c r="BJ553" t="s">
        <v>216</v>
      </c>
      <c r="BK553" t="s">
        <v>96</v>
      </c>
      <c r="BL553" t="s">
        <v>216</v>
      </c>
      <c r="BM553" t="s">
        <v>7401</v>
      </c>
      <c r="BN553" t="s">
        <v>74</v>
      </c>
      <c r="BO553" t="s">
        <v>74</v>
      </c>
      <c r="BP553" t="s">
        <v>74</v>
      </c>
      <c r="BQ553" t="s">
        <v>74</v>
      </c>
      <c r="BR553" t="s">
        <v>99</v>
      </c>
      <c r="BS553" t="s">
        <v>7402</v>
      </c>
      <c r="BT553" t="str">
        <f>HYPERLINK("https%3A%2F%2Fwww.webofscience.com%2Fwos%2Fwoscc%2Ffull-record%2FWOS:000080392900010","View Full Record in Web of Science")</f>
        <v>View Full Record in Web of Science</v>
      </c>
    </row>
    <row r="554" spans="1:72" x14ac:dyDescent="0.15">
      <c r="A554" t="s">
        <v>72</v>
      </c>
      <c r="B554" t="s">
        <v>7403</v>
      </c>
      <c r="C554" t="s">
        <v>74</v>
      </c>
      <c r="D554" t="s">
        <v>74</v>
      </c>
      <c r="E554" t="s">
        <v>74</v>
      </c>
      <c r="F554" t="s">
        <v>7403</v>
      </c>
      <c r="G554" t="s">
        <v>74</v>
      </c>
      <c r="H554" t="s">
        <v>74</v>
      </c>
      <c r="I554" t="s">
        <v>7404</v>
      </c>
      <c r="J554" t="s">
        <v>221</v>
      </c>
      <c r="K554" t="s">
        <v>74</v>
      </c>
      <c r="L554" t="s">
        <v>74</v>
      </c>
      <c r="M554" t="s">
        <v>77</v>
      </c>
      <c r="N554" t="s">
        <v>78</v>
      </c>
      <c r="O554" t="s">
        <v>74</v>
      </c>
      <c r="P554" t="s">
        <v>74</v>
      </c>
      <c r="Q554" t="s">
        <v>74</v>
      </c>
      <c r="R554" t="s">
        <v>74</v>
      </c>
      <c r="S554" t="s">
        <v>74</v>
      </c>
      <c r="T554" t="s">
        <v>74</v>
      </c>
      <c r="U554" t="s">
        <v>7405</v>
      </c>
      <c r="V554" t="s">
        <v>7406</v>
      </c>
      <c r="W554" t="s">
        <v>7407</v>
      </c>
      <c r="X554" t="s">
        <v>7408</v>
      </c>
      <c r="Y554" t="s">
        <v>7409</v>
      </c>
      <c r="Z554" t="s">
        <v>7410</v>
      </c>
      <c r="AA554" t="s">
        <v>7411</v>
      </c>
      <c r="AB554" t="s">
        <v>7412</v>
      </c>
      <c r="AC554" t="s">
        <v>74</v>
      </c>
      <c r="AD554" t="s">
        <v>74</v>
      </c>
      <c r="AE554" t="s">
        <v>74</v>
      </c>
      <c r="AF554" t="s">
        <v>74</v>
      </c>
      <c r="AG554">
        <v>40</v>
      </c>
      <c r="AH554">
        <v>43</v>
      </c>
      <c r="AI554">
        <v>51</v>
      </c>
      <c r="AJ554">
        <v>1</v>
      </c>
      <c r="AK554">
        <v>15</v>
      </c>
      <c r="AL554" t="s">
        <v>230</v>
      </c>
      <c r="AM554" t="s">
        <v>231</v>
      </c>
      <c r="AN554" t="s">
        <v>232</v>
      </c>
      <c r="AO554" t="s">
        <v>233</v>
      </c>
      <c r="AP554" t="s">
        <v>317</v>
      </c>
      <c r="AQ554" t="s">
        <v>74</v>
      </c>
      <c r="AR554" t="s">
        <v>234</v>
      </c>
      <c r="AS554" t="s">
        <v>235</v>
      </c>
      <c r="AT554" t="s">
        <v>7413</v>
      </c>
      <c r="AU554">
        <v>1999</v>
      </c>
      <c r="AV554">
        <v>104</v>
      </c>
      <c r="AW554" t="s">
        <v>7414</v>
      </c>
      <c r="AX554" t="s">
        <v>74</v>
      </c>
      <c r="AY554" t="s">
        <v>74</v>
      </c>
      <c r="AZ554" t="s">
        <v>74</v>
      </c>
      <c r="BA554" t="s">
        <v>74</v>
      </c>
      <c r="BB554">
        <v>11985</v>
      </c>
      <c r="BC554">
        <v>11994</v>
      </c>
      <c r="BD554" t="s">
        <v>74</v>
      </c>
      <c r="BE554" t="s">
        <v>7415</v>
      </c>
      <c r="BF554" t="str">
        <f>HYPERLINK("http://dx.doi.org/10.1029/1999JD900104","http://dx.doi.org/10.1029/1999JD900104")</f>
        <v>http://dx.doi.org/10.1029/1999JD900104</v>
      </c>
      <c r="BG554" t="s">
        <v>74</v>
      </c>
      <c r="BH554" t="s">
        <v>74</v>
      </c>
      <c r="BI554">
        <v>10</v>
      </c>
      <c r="BJ554" t="s">
        <v>95</v>
      </c>
      <c r="BK554" t="s">
        <v>96</v>
      </c>
      <c r="BL554" t="s">
        <v>95</v>
      </c>
      <c r="BM554" t="s">
        <v>7416</v>
      </c>
      <c r="BN554" t="s">
        <v>74</v>
      </c>
      <c r="BO554" t="s">
        <v>250</v>
      </c>
      <c r="BP554" t="s">
        <v>74</v>
      </c>
      <c r="BQ554" t="s">
        <v>74</v>
      </c>
      <c r="BR554" t="s">
        <v>99</v>
      </c>
      <c r="BS554" t="s">
        <v>7417</v>
      </c>
      <c r="BT554" t="str">
        <f>HYPERLINK("https%3A%2F%2Fwww.webofscience.com%2Fwos%2Fwoscc%2Ffull-record%2FWOS:000080566500009","View Full Record in Web of Science")</f>
        <v>View Full Record in Web of Science</v>
      </c>
    </row>
    <row r="555" spans="1:72" x14ac:dyDescent="0.15">
      <c r="A555" t="s">
        <v>72</v>
      </c>
      <c r="B555" t="s">
        <v>7418</v>
      </c>
      <c r="C555" t="s">
        <v>74</v>
      </c>
      <c r="D555" t="s">
        <v>74</v>
      </c>
      <c r="E555" t="s">
        <v>74</v>
      </c>
      <c r="F555" t="s">
        <v>7418</v>
      </c>
      <c r="G555" t="s">
        <v>74</v>
      </c>
      <c r="H555" t="s">
        <v>74</v>
      </c>
      <c r="I555" t="s">
        <v>7419</v>
      </c>
      <c r="J555" t="s">
        <v>359</v>
      </c>
      <c r="K555" t="s">
        <v>74</v>
      </c>
      <c r="L555" t="s">
        <v>74</v>
      </c>
      <c r="M555" t="s">
        <v>77</v>
      </c>
      <c r="N555" t="s">
        <v>78</v>
      </c>
      <c r="O555" t="s">
        <v>74</v>
      </c>
      <c r="P555" t="s">
        <v>74</v>
      </c>
      <c r="Q555" t="s">
        <v>74</v>
      </c>
      <c r="R555" t="s">
        <v>74</v>
      </c>
      <c r="S555" t="s">
        <v>74</v>
      </c>
      <c r="T555" t="s">
        <v>74</v>
      </c>
      <c r="U555" t="s">
        <v>7420</v>
      </c>
      <c r="V555" t="s">
        <v>7421</v>
      </c>
      <c r="W555" t="s">
        <v>7422</v>
      </c>
      <c r="X555" t="s">
        <v>7132</v>
      </c>
      <c r="Y555" t="s">
        <v>7423</v>
      </c>
      <c r="Z555" t="s">
        <v>74</v>
      </c>
      <c r="AA555" t="s">
        <v>74</v>
      </c>
      <c r="AB555" t="s">
        <v>74</v>
      </c>
      <c r="AC555" t="s">
        <v>74</v>
      </c>
      <c r="AD555" t="s">
        <v>74</v>
      </c>
      <c r="AE555" t="s">
        <v>74</v>
      </c>
      <c r="AF555" t="s">
        <v>74</v>
      </c>
      <c r="AG555">
        <v>44</v>
      </c>
      <c r="AH555">
        <v>22</v>
      </c>
      <c r="AI555">
        <v>23</v>
      </c>
      <c r="AJ555">
        <v>1</v>
      </c>
      <c r="AK555">
        <v>5</v>
      </c>
      <c r="AL555" t="s">
        <v>365</v>
      </c>
      <c r="AM555" t="s">
        <v>231</v>
      </c>
      <c r="AN555" t="s">
        <v>366</v>
      </c>
      <c r="AO555" t="s">
        <v>367</v>
      </c>
      <c r="AP555" t="s">
        <v>74</v>
      </c>
      <c r="AQ555" t="s">
        <v>74</v>
      </c>
      <c r="AR555" t="s">
        <v>368</v>
      </c>
      <c r="AS555" t="s">
        <v>369</v>
      </c>
      <c r="AT555" t="s">
        <v>7413</v>
      </c>
      <c r="AU555">
        <v>1999</v>
      </c>
      <c r="AV555">
        <v>103</v>
      </c>
      <c r="AW555">
        <v>21</v>
      </c>
      <c r="AX555" t="s">
        <v>74</v>
      </c>
      <c r="AY555" t="s">
        <v>74</v>
      </c>
      <c r="AZ555" t="s">
        <v>74</v>
      </c>
      <c r="BA555" t="s">
        <v>74</v>
      </c>
      <c r="BB555">
        <v>4196</v>
      </c>
      <c r="BC555">
        <v>4201</v>
      </c>
      <c r="BD555" t="s">
        <v>74</v>
      </c>
      <c r="BE555" t="s">
        <v>7424</v>
      </c>
      <c r="BF555" t="str">
        <f>HYPERLINK("http://dx.doi.org/10.1021/jp984241t","http://dx.doi.org/10.1021/jp984241t")</f>
        <v>http://dx.doi.org/10.1021/jp984241t</v>
      </c>
      <c r="BG555" t="s">
        <v>74</v>
      </c>
      <c r="BH555" t="s">
        <v>74</v>
      </c>
      <c r="BI555">
        <v>6</v>
      </c>
      <c r="BJ555" t="s">
        <v>372</v>
      </c>
      <c r="BK555" t="s">
        <v>96</v>
      </c>
      <c r="BL555" t="s">
        <v>373</v>
      </c>
      <c r="BM555" t="s">
        <v>7425</v>
      </c>
      <c r="BN555" t="s">
        <v>74</v>
      </c>
      <c r="BO555" t="s">
        <v>74</v>
      </c>
      <c r="BP555" t="s">
        <v>74</v>
      </c>
      <c r="BQ555" t="s">
        <v>74</v>
      </c>
      <c r="BR555" t="s">
        <v>99</v>
      </c>
      <c r="BS555" t="s">
        <v>7426</v>
      </c>
      <c r="BT555" t="str">
        <f>HYPERLINK("https%3A%2F%2Fwww.webofscience.com%2Fwos%2Fwoscc%2Ffull-record%2FWOS:000080646500012","View Full Record in Web of Science")</f>
        <v>View Full Record in Web of Science</v>
      </c>
    </row>
    <row r="556" spans="1:72" x14ac:dyDescent="0.15">
      <c r="A556" t="s">
        <v>72</v>
      </c>
      <c r="B556" t="s">
        <v>7427</v>
      </c>
      <c r="C556" t="s">
        <v>74</v>
      </c>
      <c r="D556" t="s">
        <v>74</v>
      </c>
      <c r="E556" t="s">
        <v>74</v>
      </c>
      <c r="F556" t="s">
        <v>7427</v>
      </c>
      <c r="G556" t="s">
        <v>74</v>
      </c>
      <c r="H556" t="s">
        <v>74</v>
      </c>
      <c r="I556" t="s">
        <v>7428</v>
      </c>
      <c r="J556" t="s">
        <v>2628</v>
      </c>
      <c r="K556" t="s">
        <v>74</v>
      </c>
      <c r="L556" t="s">
        <v>74</v>
      </c>
      <c r="M556" t="s">
        <v>77</v>
      </c>
      <c r="N556" t="s">
        <v>78</v>
      </c>
      <c r="O556" t="s">
        <v>74</v>
      </c>
      <c r="P556" t="s">
        <v>74</v>
      </c>
      <c r="Q556" t="s">
        <v>74</v>
      </c>
      <c r="R556" t="s">
        <v>74</v>
      </c>
      <c r="S556" t="s">
        <v>74</v>
      </c>
      <c r="T556" t="s">
        <v>74</v>
      </c>
      <c r="U556" t="s">
        <v>7429</v>
      </c>
      <c r="V556" t="s">
        <v>7430</v>
      </c>
      <c r="W556" t="s">
        <v>7431</v>
      </c>
      <c r="X556" t="s">
        <v>994</v>
      </c>
      <c r="Y556" t="s">
        <v>7432</v>
      </c>
      <c r="Z556" t="s">
        <v>74</v>
      </c>
      <c r="AA556" t="s">
        <v>7433</v>
      </c>
      <c r="AB556" t="s">
        <v>7434</v>
      </c>
      <c r="AC556" t="s">
        <v>74</v>
      </c>
      <c r="AD556" t="s">
        <v>74</v>
      </c>
      <c r="AE556" t="s">
        <v>74</v>
      </c>
      <c r="AF556" t="s">
        <v>74</v>
      </c>
      <c r="AG556">
        <v>75</v>
      </c>
      <c r="AH556">
        <v>24</v>
      </c>
      <c r="AI556">
        <v>25</v>
      </c>
      <c r="AJ556">
        <v>0</v>
      </c>
      <c r="AK556">
        <v>9</v>
      </c>
      <c r="AL556" t="s">
        <v>365</v>
      </c>
      <c r="AM556" t="s">
        <v>231</v>
      </c>
      <c r="AN556" t="s">
        <v>366</v>
      </c>
      <c r="AO556" t="s">
        <v>2636</v>
      </c>
      <c r="AP556" t="s">
        <v>7435</v>
      </c>
      <c r="AQ556" t="s">
        <v>74</v>
      </c>
      <c r="AR556" t="s">
        <v>2637</v>
      </c>
      <c r="AS556" t="s">
        <v>2638</v>
      </c>
      <c r="AT556" t="s">
        <v>7413</v>
      </c>
      <c r="AU556">
        <v>1999</v>
      </c>
      <c r="AV556">
        <v>103</v>
      </c>
      <c r="AW556">
        <v>21</v>
      </c>
      <c r="AX556" t="s">
        <v>74</v>
      </c>
      <c r="AY556" t="s">
        <v>74</v>
      </c>
      <c r="AZ556" t="s">
        <v>74</v>
      </c>
      <c r="BA556" t="s">
        <v>74</v>
      </c>
      <c r="BB556">
        <v>4366</v>
      </c>
      <c r="BC556">
        <v>4376</v>
      </c>
      <c r="BD556" t="s">
        <v>74</v>
      </c>
      <c r="BE556" t="s">
        <v>7436</v>
      </c>
      <c r="BF556" t="str">
        <f>HYPERLINK("http://dx.doi.org/10.1021/jp9833294","http://dx.doi.org/10.1021/jp9833294")</f>
        <v>http://dx.doi.org/10.1021/jp9833294</v>
      </c>
      <c r="BG556" t="s">
        <v>74</v>
      </c>
      <c r="BH556" t="s">
        <v>74</v>
      </c>
      <c r="BI556">
        <v>11</v>
      </c>
      <c r="BJ556" t="s">
        <v>2640</v>
      </c>
      <c r="BK556" t="s">
        <v>96</v>
      </c>
      <c r="BL556" t="s">
        <v>285</v>
      </c>
      <c r="BM556" t="s">
        <v>7437</v>
      </c>
      <c r="BN556" t="s">
        <v>74</v>
      </c>
      <c r="BO556" t="s">
        <v>74</v>
      </c>
      <c r="BP556" t="s">
        <v>74</v>
      </c>
      <c r="BQ556" t="s">
        <v>74</v>
      </c>
      <c r="BR556" t="s">
        <v>99</v>
      </c>
      <c r="BS556" t="s">
        <v>7438</v>
      </c>
      <c r="BT556" t="str">
        <f>HYPERLINK("https%3A%2F%2Fwww.webofscience.com%2Fwos%2Fwoscc%2Ffull-record%2FWOS:000080646700023","View Full Record in Web of Science")</f>
        <v>View Full Record in Web of Science</v>
      </c>
    </row>
    <row r="557" spans="1:72" x14ac:dyDescent="0.15">
      <c r="A557" t="s">
        <v>72</v>
      </c>
      <c r="B557" t="s">
        <v>7439</v>
      </c>
      <c r="C557" t="s">
        <v>74</v>
      </c>
      <c r="D557" t="s">
        <v>74</v>
      </c>
      <c r="E557" t="s">
        <v>74</v>
      </c>
      <c r="F557" t="s">
        <v>7439</v>
      </c>
      <c r="G557" t="s">
        <v>74</v>
      </c>
      <c r="H557" t="s">
        <v>74</v>
      </c>
      <c r="I557" t="s">
        <v>7440</v>
      </c>
      <c r="J557" t="s">
        <v>2692</v>
      </c>
      <c r="K557" t="s">
        <v>74</v>
      </c>
      <c r="L557" t="s">
        <v>74</v>
      </c>
      <c r="M557" t="s">
        <v>77</v>
      </c>
      <c r="N557" t="s">
        <v>78</v>
      </c>
      <c r="O557" t="s">
        <v>74</v>
      </c>
      <c r="P557" t="s">
        <v>74</v>
      </c>
      <c r="Q557" t="s">
        <v>74</v>
      </c>
      <c r="R557" t="s">
        <v>74</v>
      </c>
      <c r="S557" t="s">
        <v>74</v>
      </c>
      <c r="T557" t="s">
        <v>74</v>
      </c>
      <c r="U557" t="s">
        <v>7441</v>
      </c>
      <c r="V557" t="s">
        <v>7442</v>
      </c>
      <c r="W557" t="s">
        <v>7443</v>
      </c>
      <c r="X557" t="s">
        <v>7444</v>
      </c>
      <c r="Y557" t="s">
        <v>7445</v>
      </c>
      <c r="Z557" t="s">
        <v>7446</v>
      </c>
      <c r="AA557" t="s">
        <v>7447</v>
      </c>
      <c r="AB557" t="s">
        <v>7448</v>
      </c>
      <c r="AC557" t="s">
        <v>74</v>
      </c>
      <c r="AD557" t="s">
        <v>74</v>
      </c>
      <c r="AE557" t="s">
        <v>74</v>
      </c>
      <c r="AF557" t="s">
        <v>74</v>
      </c>
      <c r="AG557">
        <v>31</v>
      </c>
      <c r="AH557">
        <v>57</v>
      </c>
      <c r="AI557">
        <v>58</v>
      </c>
      <c r="AJ557">
        <v>2</v>
      </c>
      <c r="AK557">
        <v>21</v>
      </c>
      <c r="AL557" t="s">
        <v>7449</v>
      </c>
      <c r="AM557" t="s">
        <v>531</v>
      </c>
      <c r="AN557" t="s">
        <v>7450</v>
      </c>
      <c r="AO557" t="s">
        <v>2695</v>
      </c>
      <c r="AP557" t="s">
        <v>4951</v>
      </c>
      <c r="AQ557" t="s">
        <v>74</v>
      </c>
      <c r="AR557" t="s">
        <v>2692</v>
      </c>
      <c r="AS557" t="s">
        <v>2696</v>
      </c>
      <c r="AT557" t="s">
        <v>7413</v>
      </c>
      <c r="AU557">
        <v>1999</v>
      </c>
      <c r="AV557">
        <v>399</v>
      </c>
      <c r="AW557">
        <v>6734</v>
      </c>
      <c r="AX557" t="s">
        <v>74</v>
      </c>
      <c r="AY557" t="s">
        <v>74</v>
      </c>
      <c r="AZ557" t="s">
        <v>74</v>
      </c>
      <c r="BA557" t="s">
        <v>74</v>
      </c>
      <c r="BB557">
        <v>345</v>
      </c>
      <c r="BC557">
        <v>350</v>
      </c>
      <c r="BD557" t="s">
        <v>74</v>
      </c>
      <c r="BE557" t="s">
        <v>7451</v>
      </c>
      <c r="BF557" t="str">
        <f>HYPERLINK("http://dx.doi.org/10.1038/20664","http://dx.doi.org/10.1038/20664")</f>
        <v>http://dx.doi.org/10.1038/20664</v>
      </c>
      <c r="BG557" t="s">
        <v>74</v>
      </c>
      <c r="BH557" t="s">
        <v>74</v>
      </c>
      <c r="BI557">
        <v>6</v>
      </c>
      <c r="BJ557" t="s">
        <v>303</v>
      </c>
      <c r="BK557" t="s">
        <v>96</v>
      </c>
      <c r="BL557" t="s">
        <v>304</v>
      </c>
      <c r="BM557" t="s">
        <v>7452</v>
      </c>
      <c r="BN557" t="s">
        <v>74</v>
      </c>
      <c r="BO557" t="s">
        <v>74</v>
      </c>
      <c r="BP557" t="s">
        <v>74</v>
      </c>
      <c r="BQ557" t="s">
        <v>74</v>
      </c>
      <c r="BR557" t="s">
        <v>99</v>
      </c>
      <c r="BS557" t="s">
        <v>7453</v>
      </c>
      <c r="BT557" t="str">
        <f>HYPERLINK("https%3A%2F%2Fwww.webofscience.com%2Fwos%2Fwoscc%2Ffull-record%2FWOS:000080547800057","View Full Record in Web of Science")</f>
        <v>View Full Record in Web of Science</v>
      </c>
    </row>
    <row r="558" spans="1:72" x14ac:dyDescent="0.15">
      <c r="A558" t="s">
        <v>72</v>
      </c>
      <c r="B558" t="s">
        <v>7454</v>
      </c>
      <c r="C558" t="s">
        <v>74</v>
      </c>
      <c r="D558" t="s">
        <v>74</v>
      </c>
      <c r="E558" t="s">
        <v>74</v>
      </c>
      <c r="F558" t="s">
        <v>7454</v>
      </c>
      <c r="G558" t="s">
        <v>74</v>
      </c>
      <c r="H558" t="s">
        <v>74</v>
      </c>
      <c r="I558" t="s">
        <v>7455</v>
      </c>
      <c r="J558" t="s">
        <v>6210</v>
      </c>
      <c r="K558" t="s">
        <v>74</v>
      </c>
      <c r="L558" t="s">
        <v>74</v>
      </c>
      <c r="M558" t="s">
        <v>77</v>
      </c>
      <c r="N558" t="s">
        <v>78</v>
      </c>
      <c r="O558" t="s">
        <v>74</v>
      </c>
      <c r="P558" t="s">
        <v>74</v>
      </c>
      <c r="Q558" t="s">
        <v>74</v>
      </c>
      <c r="R558" t="s">
        <v>74</v>
      </c>
      <c r="S558" t="s">
        <v>74</v>
      </c>
      <c r="T558" t="s">
        <v>7456</v>
      </c>
      <c r="U558" t="s">
        <v>7457</v>
      </c>
      <c r="V558" t="s">
        <v>7458</v>
      </c>
      <c r="W558" t="s">
        <v>7459</v>
      </c>
      <c r="X558" t="s">
        <v>7460</v>
      </c>
      <c r="Y558" t="s">
        <v>7461</v>
      </c>
      <c r="Z558" t="s">
        <v>74</v>
      </c>
      <c r="AA558" t="s">
        <v>7462</v>
      </c>
      <c r="AB558" t="s">
        <v>7463</v>
      </c>
      <c r="AC558" t="s">
        <v>74</v>
      </c>
      <c r="AD558" t="s">
        <v>74</v>
      </c>
      <c r="AE558" t="s">
        <v>74</v>
      </c>
      <c r="AF558" t="s">
        <v>74</v>
      </c>
      <c r="AG558">
        <v>14</v>
      </c>
      <c r="AH558">
        <v>18</v>
      </c>
      <c r="AI558">
        <v>18</v>
      </c>
      <c r="AJ558">
        <v>0</v>
      </c>
      <c r="AK558">
        <v>0</v>
      </c>
      <c r="AL558" t="s">
        <v>6217</v>
      </c>
      <c r="AM558" t="s">
        <v>6218</v>
      </c>
      <c r="AN558" t="s">
        <v>6219</v>
      </c>
      <c r="AO558" t="s">
        <v>6220</v>
      </c>
      <c r="AP558" t="s">
        <v>74</v>
      </c>
      <c r="AQ558" t="s">
        <v>74</v>
      </c>
      <c r="AR558" t="s">
        <v>6221</v>
      </c>
      <c r="AS558" t="s">
        <v>6222</v>
      </c>
      <c r="AT558" t="s">
        <v>7464</v>
      </c>
      <c r="AU558">
        <v>1999</v>
      </c>
      <c r="AV558">
        <v>517</v>
      </c>
      <c r="AW558">
        <v>1</v>
      </c>
      <c r="AX558">
        <v>1</v>
      </c>
      <c r="AY558" t="s">
        <v>74</v>
      </c>
      <c r="AZ558" t="s">
        <v>74</v>
      </c>
      <c r="BA558" t="s">
        <v>74</v>
      </c>
      <c r="BB558">
        <v>282</v>
      </c>
      <c r="BC558">
        <v>291</v>
      </c>
      <c r="BD558" t="s">
        <v>74</v>
      </c>
      <c r="BE558" t="s">
        <v>7465</v>
      </c>
      <c r="BF558" t="str">
        <f>HYPERLINK("http://dx.doi.org/10.1086/307194","http://dx.doi.org/10.1086/307194")</f>
        <v>http://dx.doi.org/10.1086/307194</v>
      </c>
      <c r="BG558" t="s">
        <v>74</v>
      </c>
      <c r="BH558" t="s">
        <v>74</v>
      </c>
      <c r="BI558">
        <v>10</v>
      </c>
      <c r="BJ558" t="s">
        <v>1076</v>
      </c>
      <c r="BK558" t="s">
        <v>96</v>
      </c>
      <c r="BL558" t="s">
        <v>1076</v>
      </c>
      <c r="BM558" t="s">
        <v>7466</v>
      </c>
      <c r="BN558" t="s">
        <v>74</v>
      </c>
      <c r="BO558" t="s">
        <v>250</v>
      </c>
      <c r="BP558" t="s">
        <v>74</v>
      </c>
      <c r="BQ558" t="s">
        <v>74</v>
      </c>
      <c r="BR558" t="s">
        <v>99</v>
      </c>
      <c r="BS558" t="s">
        <v>7467</v>
      </c>
      <c r="BT558" t="str">
        <f>HYPERLINK("https%3A%2F%2Fwww.webofscience.com%2Fwos%2Fwoscc%2Ffull-record%2FWOS:000080894200024","View Full Record in Web of Science")</f>
        <v>View Full Record in Web of Science</v>
      </c>
    </row>
    <row r="559" spans="1:72" x14ac:dyDescent="0.15">
      <c r="A559" t="s">
        <v>72</v>
      </c>
      <c r="B559" t="s">
        <v>985</v>
      </c>
      <c r="C559" t="s">
        <v>74</v>
      </c>
      <c r="D559" t="s">
        <v>74</v>
      </c>
      <c r="E559" t="s">
        <v>74</v>
      </c>
      <c r="F559" t="s">
        <v>985</v>
      </c>
      <c r="G559" t="s">
        <v>74</v>
      </c>
      <c r="H559" t="s">
        <v>74</v>
      </c>
      <c r="I559" t="s">
        <v>7468</v>
      </c>
      <c r="J559" t="s">
        <v>359</v>
      </c>
      <c r="K559" t="s">
        <v>74</v>
      </c>
      <c r="L559" t="s">
        <v>74</v>
      </c>
      <c r="M559" t="s">
        <v>77</v>
      </c>
      <c r="N559" t="s">
        <v>2339</v>
      </c>
      <c r="O559" t="s">
        <v>74</v>
      </c>
      <c r="P559" t="s">
        <v>74</v>
      </c>
      <c r="Q559" t="s">
        <v>74</v>
      </c>
      <c r="R559" t="s">
        <v>74</v>
      </c>
      <c r="S559" t="s">
        <v>74</v>
      </c>
      <c r="T559" t="s">
        <v>74</v>
      </c>
      <c r="U559" t="s">
        <v>7469</v>
      </c>
      <c r="V559" t="s">
        <v>7470</v>
      </c>
      <c r="W559" t="s">
        <v>993</v>
      </c>
      <c r="X559" t="s">
        <v>994</v>
      </c>
      <c r="Y559" t="s">
        <v>7471</v>
      </c>
      <c r="Z559" t="s">
        <v>7472</v>
      </c>
      <c r="AA559" t="s">
        <v>74</v>
      </c>
      <c r="AB559" t="s">
        <v>74</v>
      </c>
      <c r="AC559" t="s">
        <v>74</v>
      </c>
      <c r="AD559" t="s">
        <v>74</v>
      </c>
      <c r="AE559" t="s">
        <v>74</v>
      </c>
      <c r="AF559" t="s">
        <v>74</v>
      </c>
      <c r="AG559">
        <v>53</v>
      </c>
      <c r="AH559">
        <v>66</v>
      </c>
      <c r="AI559">
        <v>69</v>
      </c>
      <c r="AJ559">
        <v>0</v>
      </c>
      <c r="AK559">
        <v>8</v>
      </c>
      <c r="AL559" t="s">
        <v>365</v>
      </c>
      <c r="AM559" t="s">
        <v>231</v>
      </c>
      <c r="AN559" t="s">
        <v>366</v>
      </c>
      <c r="AO559" t="s">
        <v>367</v>
      </c>
      <c r="AP559" t="s">
        <v>74</v>
      </c>
      <c r="AQ559" t="s">
        <v>74</v>
      </c>
      <c r="AR559" t="s">
        <v>368</v>
      </c>
      <c r="AS559" t="s">
        <v>369</v>
      </c>
      <c r="AT559" t="s">
        <v>7464</v>
      </c>
      <c r="AU559">
        <v>1999</v>
      </c>
      <c r="AV559">
        <v>103</v>
      </c>
      <c r="AW559">
        <v>20</v>
      </c>
      <c r="AX559" t="s">
        <v>74</v>
      </c>
      <c r="AY559" t="s">
        <v>74</v>
      </c>
      <c r="AZ559" t="s">
        <v>74</v>
      </c>
      <c r="BA559" t="s">
        <v>74</v>
      </c>
      <c r="BB559">
        <v>3797</v>
      </c>
      <c r="BC559">
        <v>3801</v>
      </c>
      <c r="BD559" t="s">
        <v>74</v>
      </c>
      <c r="BE559" t="s">
        <v>7473</v>
      </c>
      <c r="BF559" t="str">
        <f>HYPERLINK("http://dx.doi.org/10.1021/jp990471b","http://dx.doi.org/10.1021/jp990471b")</f>
        <v>http://dx.doi.org/10.1021/jp990471b</v>
      </c>
      <c r="BG559" t="s">
        <v>74</v>
      </c>
      <c r="BH559" t="s">
        <v>74</v>
      </c>
      <c r="BI559">
        <v>5</v>
      </c>
      <c r="BJ559" t="s">
        <v>372</v>
      </c>
      <c r="BK559" t="s">
        <v>96</v>
      </c>
      <c r="BL559" t="s">
        <v>373</v>
      </c>
      <c r="BM559" t="s">
        <v>7474</v>
      </c>
      <c r="BN559" t="s">
        <v>74</v>
      </c>
      <c r="BO559" t="s">
        <v>74</v>
      </c>
      <c r="BP559" t="s">
        <v>74</v>
      </c>
      <c r="BQ559" t="s">
        <v>74</v>
      </c>
      <c r="BR559" t="s">
        <v>99</v>
      </c>
      <c r="BS559" t="s">
        <v>7475</v>
      </c>
      <c r="BT559" t="str">
        <f>HYPERLINK("https%3A%2F%2Fwww.webofscience.com%2Fwos%2Fwoscc%2Ffull-record%2FWOS:000080565300001","View Full Record in Web of Science")</f>
        <v>View Full Record in Web of Science</v>
      </c>
    </row>
    <row r="560" spans="1:72" x14ac:dyDescent="0.15">
      <c r="A560" t="s">
        <v>72</v>
      </c>
      <c r="B560" t="s">
        <v>7476</v>
      </c>
      <c r="C560" t="s">
        <v>74</v>
      </c>
      <c r="D560" t="s">
        <v>74</v>
      </c>
      <c r="E560" t="s">
        <v>74</v>
      </c>
      <c r="F560" t="s">
        <v>7476</v>
      </c>
      <c r="G560" t="s">
        <v>74</v>
      </c>
      <c r="H560" t="s">
        <v>74</v>
      </c>
      <c r="I560" t="s">
        <v>7477</v>
      </c>
      <c r="J560" t="s">
        <v>7478</v>
      </c>
      <c r="K560" t="s">
        <v>74</v>
      </c>
      <c r="L560" t="s">
        <v>74</v>
      </c>
      <c r="M560" t="s">
        <v>77</v>
      </c>
      <c r="N560" t="s">
        <v>78</v>
      </c>
      <c r="O560" t="s">
        <v>74</v>
      </c>
      <c r="P560" t="s">
        <v>74</v>
      </c>
      <c r="Q560" t="s">
        <v>74</v>
      </c>
      <c r="R560" t="s">
        <v>74</v>
      </c>
      <c r="S560" t="s">
        <v>74</v>
      </c>
      <c r="T560" t="s">
        <v>7479</v>
      </c>
      <c r="U560" t="s">
        <v>7480</v>
      </c>
      <c r="V560" t="s">
        <v>7481</v>
      </c>
      <c r="W560" t="s">
        <v>7482</v>
      </c>
      <c r="X560" t="s">
        <v>7483</v>
      </c>
      <c r="Y560" t="s">
        <v>7484</v>
      </c>
      <c r="Z560" t="s">
        <v>74</v>
      </c>
      <c r="AA560" t="s">
        <v>74</v>
      </c>
      <c r="AB560" t="s">
        <v>7485</v>
      </c>
      <c r="AC560" t="s">
        <v>74</v>
      </c>
      <c r="AD560" t="s">
        <v>74</v>
      </c>
      <c r="AE560" t="s">
        <v>74</v>
      </c>
      <c r="AF560" t="s">
        <v>74</v>
      </c>
      <c r="AG560">
        <v>24</v>
      </c>
      <c r="AH560">
        <v>42</v>
      </c>
      <c r="AI560">
        <v>42</v>
      </c>
      <c r="AJ560">
        <v>0</v>
      </c>
      <c r="AK560">
        <v>15</v>
      </c>
      <c r="AL560" t="s">
        <v>210</v>
      </c>
      <c r="AM560" t="s">
        <v>211</v>
      </c>
      <c r="AN560" t="s">
        <v>212</v>
      </c>
      <c r="AO560" t="s">
        <v>7486</v>
      </c>
      <c r="AP560" t="s">
        <v>74</v>
      </c>
      <c r="AQ560" t="s">
        <v>74</v>
      </c>
      <c r="AR560" t="s">
        <v>7487</v>
      </c>
      <c r="AS560" t="s">
        <v>7488</v>
      </c>
      <c r="AT560" t="s">
        <v>7489</v>
      </c>
      <c r="AU560">
        <v>1999</v>
      </c>
      <c r="AV560">
        <v>390</v>
      </c>
      <c r="AW560" t="s">
        <v>2622</v>
      </c>
      <c r="AX560" t="s">
        <v>74</v>
      </c>
      <c r="AY560" t="s">
        <v>74</v>
      </c>
      <c r="AZ560" t="s">
        <v>74</v>
      </c>
      <c r="BA560" t="s">
        <v>74</v>
      </c>
      <c r="BB560">
        <v>227</v>
      </c>
      <c r="BC560">
        <v>235</v>
      </c>
      <c r="BD560" t="s">
        <v>74</v>
      </c>
      <c r="BE560" t="s">
        <v>7490</v>
      </c>
      <c r="BF560" t="str">
        <f>HYPERLINK("http://dx.doi.org/10.1016/S0003-2670(99)00182-8","http://dx.doi.org/10.1016/S0003-2670(99)00182-8")</f>
        <v>http://dx.doi.org/10.1016/S0003-2670(99)00182-8</v>
      </c>
      <c r="BG560" t="s">
        <v>74</v>
      </c>
      <c r="BH560" t="s">
        <v>74</v>
      </c>
      <c r="BI560">
        <v>9</v>
      </c>
      <c r="BJ560" t="s">
        <v>7491</v>
      </c>
      <c r="BK560" t="s">
        <v>96</v>
      </c>
      <c r="BL560" t="s">
        <v>285</v>
      </c>
      <c r="BM560" t="s">
        <v>7492</v>
      </c>
      <c r="BN560" t="s">
        <v>74</v>
      </c>
      <c r="BO560" t="s">
        <v>74</v>
      </c>
      <c r="BP560" t="s">
        <v>74</v>
      </c>
      <c r="BQ560" t="s">
        <v>74</v>
      </c>
      <c r="BR560" t="s">
        <v>99</v>
      </c>
      <c r="BS560" t="s">
        <v>7493</v>
      </c>
      <c r="BT560" t="str">
        <f>HYPERLINK("https%3A%2F%2Fwww.webofscience.com%2Fwos%2Fwoscc%2Ffull-record%2FWOS:000080554900026","View Full Record in Web of Science")</f>
        <v>View Full Record in Web of Science</v>
      </c>
    </row>
    <row r="561" spans="1:72" x14ac:dyDescent="0.15">
      <c r="A561" t="s">
        <v>72</v>
      </c>
      <c r="B561" t="s">
        <v>7494</v>
      </c>
      <c r="C561" t="s">
        <v>74</v>
      </c>
      <c r="D561" t="s">
        <v>74</v>
      </c>
      <c r="E561" t="s">
        <v>74</v>
      </c>
      <c r="F561" t="s">
        <v>7494</v>
      </c>
      <c r="G561" t="s">
        <v>74</v>
      </c>
      <c r="H561" t="s">
        <v>74</v>
      </c>
      <c r="I561" t="s">
        <v>7495</v>
      </c>
      <c r="J561" t="s">
        <v>378</v>
      </c>
      <c r="K561" t="s">
        <v>74</v>
      </c>
      <c r="L561" t="s">
        <v>74</v>
      </c>
      <c r="M561" t="s">
        <v>77</v>
      </c>
      <c r="N561" t="s">
        <v>78</v>
      </c>
      <c r="O561" t="s">
        <v>74</v>
      </c>
      <c r="P561" t="s">
        <v>74</v>
      </c>
      <c r="Q561" t="s">
        <v>74</v>
      </c>
      <c r="R561" t="s">
        <v>74</v>
      </c>
      <c r="S561" t="s">
        <v>74</v>
      </c>
      <c r="T561" t="s">
        <v>74</v>
      </c>
      <c r="U561" t="s">
        <v>74</v>
      </c>
      <c r="V561" t="s">
        <v>7496</v>
      </c>
      <c r="W561" t="s">
        <v>7497</v>
      </c>
      <c r="X561" t="s">
        <v>7498</v>
      </c>
      <c r="Y561" t="s">
        <v>7499</v>
      </c>
      <c r="Z561" t="s">
        <v>74</v>
      </c>
      <c r="AA561" t="s">
        <v>74</v>
      </c>
      <c r="AB561" t="s">
        <v>7500</v>
      </c>
      <c r="AC561" t="s">
        <v>74</v>
      </c>
      <c r="AD561" t="s">
        <v>74</v>
      </c>
      <c r="AE561" t="s">
        <v>74</v>
      </c>
      <c r="AF561" t="s">
        <v>74</v>
      </c>
      <c r="AG561">
        <v>14</v>
      </c>
      <c r="AH561">
        <v>32</v>
      </c>
      <c r="AI561">
        <v>32</v>
      </c>
      <c r="AJ561">
        <v>0</v>
      </c>
      <c r="AK561">
        <v>1</v>
      </c>
      <c r="AL561" t="s">
        <v>230</v>
      </c>
      <c r="AM561" t="s">
        <v>231</v>
      </c>
      <c r="AN561" t="s">
        <v>232</v>
      </c>
      <c r="AO561" t="s">
        <v>382</v>
      </c>
      <c r="AP561" t="s">
        <v>74</v>
      </c>
      <c r="AQ561" t="s">
        <v>74</v>
      </c>
      <c r="AR561" t="s">
        <v>383</v>
      </c>
      <c r="AS561" t="s">
        <v>384</v>
      </c>
      <c r="AT561" t="s">
        <v>7501</v>
      </c>
      <c r="AU561">
        <v>1999</v>
      </c>
      <c r="AV561">
        <v>26</v>
      </c>
      <c r="AW561">
        <v>10</v>
      </c>
      <c r="AX561" t="s">
        <v>74</v>
      </c>
      <c r="AY561" t="s">
        <v>74</v>
      </c>
      <c r="AZ561" t="s">
        <v>74</v>
      </c>
      <c r="BA561" t="s">
        <v>74</v>
      </c>
      <c r="BB561">
        <v>1377</v>
      </c>
      <c r="BC561">
        <v>1380</v>
      </c>
      <c r="BD561" t="s">
        <v>74</v>
      </c>
      <c r="BE561" t="s">
        <v>7502</v>
      </c>
      <c r="BF561" t="str">
        <f>HYPERLINK("http://dx.doi.org/10.1029/1999GL900277","http://dx.doi.org/10.1029/1999GL900277")</f>
        <v>http://dx.doi.org/10.1029/1999GL900277</v>
      </c>
      <c r="BG561" t="s">
        <v>74</v>
      </c>
      <c r="BH561" t="s">
        <v>74</v>
      </c>
      <c r="BI561">
        <v>4</v>
      </c>
      <c r="BJ561" t="s">
        <v>387</v>
      </c>
      <c r="BK561" t="s">
        <v>96</v>
      </c>
      <c r="BL561" t="s">
        <v>388</v>
      </c>
      <c r="BM561" t="s">
        <v>7503</v>
      </c>
      <c r="BN561" t="s">
        <v>74</v>
      </c>
      <c r="BO561" t="s">
        <v>74</v>
      </c>
      <c r="BP561" t="s">
        <v>74</v>
      </c>
      <c r="BQ561" t="s">
        <v>74</v>
      </c>
      <c r="BR561" t="s">
        <v>99</v>
      </c>
      <c r="BS561" t="s">
        <v>7504</v>
      </c>
      <c r="BT561" t="str">
        <f>HYPERLINK("https%3A%2F%2Fwww.webofscience.com%2Fwos%2Fwoscc%2Ffull-record%2FWOS:000080374500009","View Full Record in Web of Science")</f>
        <v>View Full Record in Web of Science</v>
      </c>
    </row>
    <row r="562" spans="1:72" x14ac:dyDescent="0.15">
      <c r="A562" t="s">
        <v>72</v>
      </c>
      <c r="B562" t="s">
        <v>7505</v>
      </c>
      <c r="C562" t="s">
        <v>74</v>
      </c>
      <c r="D562" t="s">
        <v>74</v>
      </c>
      <c r="E562" t="s">
        <v>74</v>
      </c>
      <c r="F562" t="s">
        <v>7505</v>
      </c>
      <c r="G562" t="s">
        <v>74</v>
      </c>
      <c r="H562" t="s">
        <v>74</v>
      </c>
      <c r="I562" t="s">
        <v>7506</v>
      </c>
      <c r="J562" t="s">
        <v>378</v>
      </c>
      <c r="K562" t="s">
        <v>74</v>
      </c>
      <c r="L562" t="s">
        <v>74</v>
      </c>
      <c r="M562" t="s">
        <v>77</v>
      </c>
      <c r="N562" t="s">
        <v>78</v>
      </c>
      <c r="O562" t="s">
        <v>74</v>
      </c>
      <c r="P562" t="s">
        <v>74</v>
      </c>
      <c r="Q562" t="s">
        <v>74</v>
      </c>
      <c r="R562" t="s">
        <v>74</v>
      </c>
      <c r="S562" t="s">
        <v>74</v>
      </c>
      <c r="T562" t="s">
        <v>74</v>
      </c>
      <c r="U562" t="s">
        <v>74</v>
      </c>
      <c r="V562" t="s">
        <v>7507</v>
      </c>
      <c r="W562" t="s">
        <v>7508</v>
      </c>
      <c r="X562" t="s">
        <v>7509</v>
      </c>
      <c r="Y562" t="s">
        <v>7510</v>
      </c>
      <c r="Z562" t="s">
        <v>7511</v>
      </c>
      <c r="AA562" t="s">
        <v>7512</v>
      </c>
      <c r="AB562" t="s">
        <v>7513</v>
      </c>
      <c r="AC562" t="s">
        <v>74</v>
      </c>
      <c r="AD562" t="s">
        <v>74</v>
      </c>
      <c r="AE562" t="s">
        <v>74</v>
      </c>
      <c r="AF562" t="s">
        <v>74</v>
      </c>
      <c r="AG562">
        <v>12</v>
      </c>
      <c r="AH562">
        <v>29</v>
      </c>
      <c r="AI562">
        <v>29</v>
      </c>
      <c r="AJ562">
        <v>0</v>
      </c>
      <c r="AK562">
        <v>0</v>
      </c>
      <c r="AL562" t="s">
        <v>230</v>
      </c>
      <c r="AM562" t="s">
        <v>231</v>
      </c>
      <c r="AN562" t="s">
        <v>232</v>
      </c>
      <c r="AO562" t="s">
        <v>382</v>
      </c>
      <c r="AP562" t="s">
        <v>2753</v>
      </c>
      <c r="AQ562" t="s">
        <v>74</v>
      </c>
      <c r="AR562" t="s">
        <v>383</v>
      </c>
      <c r="AS562" t="s">
        <v>384</v>
      </c>
      <c r="AT562" t="s">
        <v>7501</v>
      </c>
      <c r="AU562">
        <v>1999</v>
      </c>
      <c r="AV562">
        <v>26</v>
      </c>
      <c r="AW562">
        <v>10</v>
      </c>
      <c r="AX562" t="s">
        <v>74</v>
      </c>
      <c r="AY562" t="s">
        <v>74</v>
      </c>
      <c r="AZ562" t="s">
        <v>74</v>
      </c>
      <c r="BA562" t="s">
        <v>74</v>
      </c>
      <c r="BB562">
        <v>1381</v>
      </c>
      <c r="BC562">
        <v>1384</v>
      </c>
      <c r="BD562" t="s">
        <v>74</v>
      </c>
      <c r="BE562" t="s">
        <v>7514</v>
      </c>
      <c r="BF562" t="str">
        <f>HYPERLINK("http://dx.doi.org/10.1029/1999GL900190","http://dx.doi.org/10.1029/1999GL900190")</f>
        <v>http://dx.doi.org/10.1029/1999GL900190</v>
      </c>
      <c r="BG562" t="s">
        <v>74</v>
      </c>
      <c r="BH562" t="s">
        <v>74</v>
      </c>
      <c r="BI562">
        <v>4</v>
      </c>
      <c r="BJ562" t="s">
        <v>387</v>
      </c>
      <c r="BK562" t="s">
        <v>96</v>
      </c>
      <c r="BL562" t="s">
        <v>388</v>
      </c>
      <c r="BM562" t="s">
        <v>7503</v>
      </c>
      <c r="BN562" t="s">
        <v>74</v>
      </c>
      <c r="BO562" t="s">
        <v>74</v>
      </c>
      <c r="BP562" t="s">
        <v>74</v>
      </c>
      <c r="BQ562" t="s">
        <v>74</v>
      </c>
      <c r="BR562" t="s">
        <v>99</v>
      </c>
      <c r="BS562" t="s">
        <v>7515</v>
      </c>
      <c r="BT562" t="str">
        <f>HYPERLINK("https%3A%2F%2Fwww.webofscience.com%2Fwos%2Fwoscc%2Ffull-record%2FWOS:000080374500010","View Full Record in Web of Science")</f>
        <v>View Full Record in Web of Science</v>
      </c>
    </row>
    <row r="563" spans="1:72" x14ac:dyDescent="0.15">
      <c r="A563" t="s">
        <v>72</v>
      </c>
      <c r="B563" t="s">
        <v>7516</v>
      </c>
      <c r="C563" t="s">
        <v>74</v>
      </c>
      <c r="D563" t="s">
        <v>74</v>
      </c>
      <c r="E563" t="s">
        <v>74</v>
      </c>
      <c r="F563" t="s">
        <v>7516</v>
      </c>
      <c r="G563" t="s">
        <v>74</v>
      </c>
      <c r="H563" t="s">
        <v>74</v>
      </c>
      <c r="I563" t="s">
        <v>7517</v>
      </c>
      <c r="J563" t="s">
        <v>378</v>
      </c>
      <c r="K563" t="s">
        <v>74</v>
      </c>
      <c r="L563" t="s">
        <v>74</v>
      </c>
      <c r="M563" t="s">
        <v>77</v>
      </c>
      <c r="N563" t="s">
        <v>78</v>
      </c>
      <c r="O563" t="s">
        <v>74</v>
      </c>
      <c r="P563" t="s">
        <v>74</v>
      </c>
      <c r="Q563" t="s">
        <v>74</v>
      </c>
      <c r="R563" t="s">
        <v>74</v>
      </c>
      <c r="S563" t="s">
        <v>74</v>
      </c>
      <c r="T563" t="s">
        <v>74</v>
      </c>
      <c r="U563" t="s">
        <v>7518</v>
      </c>
      <c r="V563" t="s">
        <v>7519</v>
      </c>
      <c r="W563" t="s">
        <v>7520</v>
      </c>
      <c r="X563" t="s">
        <v>7521</v>
      </c>
      <c r="Y563" t="s">
        <v>7522</v>
      </c>
      <c r="Z563" t="s">
        <v>74</v>
      </c>
      <c r="AA563" t="s">
        <v>7523</v>
      </c>
      <c r="AB563" t="s">
        <v>7524</v>
      </c>
      <c r="AC563" t="s">
        <v>74</v>
      </c>
      <c r="AD563" t="s">
        <v>74</v>
      </c>
      <c r="AE563" t="s">
        <v>74</v>
      </c>
      <c r="AF563" t="s">
        <v>74</v>
      </c>
      <c r="AG563">
        <v>20</v>
      </c>
      <c r="AH563">
        <v>9</v>
      </c>
      <c r="AI563">
        <v>10</v>
      </c>
      <c r="AJ563">
        <v>0</v>
      </c>
      <c r="AK563">
        <v>4</v>
      </c>
      <c r="AL563" t="s">
        <v>230</v>
      </c>
      <c r="AM563" t="s">
        <v>231</v>
      </c>
      <c r="AN563" t="s">
        <v>232</v>
      </c>
      <c r="AO563" t="s">
        <v>382</v>
      </c>
      <c r="AP563" t="s">
        <v>74</v>
      </c>
      <c r="AQ563" t="s">
        <v>74</v>
      </c>
      <c r="AR563" t="s">
        <v>383</v>
      </c>
      <c r="AS563" t="s">
        <v>384</v>
      </c>
      <c r="AT563" t="s">
        <v>7501</v>
      </c>
      <c r="AU563">
        <v>1999</v>
      </c>
      <c r="AV563">
        <v>26</v>
      </c>
      <c r="AW563">
        <v>10</v>
      </c>
      <c r="AX563" t="s">
        <v>74</v>
      </c>
      <c r="AY563" t="s">
        <v>74</v>
      </c>
      <c r="AZ563" t="s">
        <v>74</v>
      </c>
      <c r="BA563" t="s">
        <v>74</v>
      </c>
      <c r="BB563">
        <v>1461</v>
      </c>
      <c r="BC563">
        <v>1464</v>
      </c>
      <c r="BD563" t="s">
        <v>74</v>
      </c>
      <c r="BE563" t="s">
        <v>7525</v>
      </c>
      <c r="BF563" t="str">
        <f>HYPERLINK("http://dx.doi.org/10.1029/1999GL900257","http://dx.doi.org/10.1029/1999GL900257")</f>
        <v>http://dx.doi.org/10.1029/1999GL900257</v>
      </c>
      <c r="BG563" t="s">
        <v>74</v>
      </c>
      <c r="BH563" t="s">
        <v>74</v>
      </c>
      <c r="BI563">
        <v>4</v>
      </c>
      <c r="BJ563" t="s">
        <v>387</v>
      </c>
      <c r="BK563" t="s">
        <v>96</v>
      </c>
      <c r="BL563" t="s">
        <v>388</v>
      </c>
      <c r="BM563" t="s">
        <v>7503</v>
      </c>
      <c r="BN563" t="s">
        <v>74</v>
      </c>
      <c r="BO563" t="s">
        <v>250</v>
      </c>
      <c r="BP563" t="s">
        <v>74</v>
      </c>
      <c r="BQ563" t="s">
        <v>74</v>
      </c>
      <c r="BR563" t="s">
        <v>99</v>
      </c>
      <c r="BS563" t="s">
        <v>7526</v>
      </c>
      <c r="BT563" t="str">
        <f>HYPERLINK("https%3A%2F%2Fwww.webofscience.com%2Fwos%2Fwoscc%2Ffull-record%2FWOS:000080374500030","View Full Record in Web of Science")</f>
        <v>View Full Record in Web of Science</v>
      </c>
    </row>
    <row r="564" spans="1:72" x14ac:dyDescent="0.15">
      <c r="A564" t="s">
        <v>72</v>
      </c>
      <c r="B564" t="s">
        <v>7527</v>
      </c>
      <c r="C564" t="s">
        <v>74</v>
      </c>
      <c r="D564" t="s">
        <v>74</v>
      </c>
      <c r="E564" t="s">
        <v>74</v>
      </c>
      <c r="F564" t="s">
        <v>7527</v>
      </c>
      <c r="G564" t="s">
        <v>74</v>
      </c>
      <c r="H564" t="s">
        <v>74</v>
      </c>
      <c r="I564" t="s">
        <v>7528</v>
      </c>
      <c r="J564" t="s">
        <v>378</v>
      </c>
      <c r="K564" t="s">
        <v>74</v>
      </c>
      <c r="L564" t="s">
        <v>74</v>
      </c>
      <c r="M564" t="s">
        <v>77</v>
      </c>
      <c r="N564" t="s">
        <v>78</v>
      </c>
      <c r="O564" t="s">
        <v>74</v>
      </c>
      <c r="P564" t="s">
        <v>74</v>
      </c>
      <c r="Q564" t="s">
        <v>74</v>
      </c>
      <c r="R564" t="s">
        <v>74</v>
      </c>
      <c r="S564" t="s">
        <v>74</v>
      </c>
      <c r="T564" t="s">
        <v>74</v>
      </c>
      <c r="U564" t="s">
        <v>5160</v>
      </c>
      <c r="V564" t="s">
        <v>7529</v>
      </c>
      <c r="W564" t="s">
        <v>7530</v>
      </c>
      <c r="X564" t="s">
        <v>7531</v>
      </c>
      <c r="Y564" t="s">
        <v>7532</v>
      </c>
      <c r="Z564" t="s">
        <v>74</v>
      </c>
      <c r="AA564" t="s">
        <v>7533</v>
      </c>
      <c r="AB564" t="s">
        <v>74</v>
      </c>
      <c r="AC564" t="s">
        <v>74</v>
      </c>
      <c r="AD564" t="s">
        <v>74</v>
      </c>
      <c r="AE564" t="s">
        <v>74</v>
      </c>
      <c r="AF564" t="s">
        <v>74</v>
      </c>
      <c r="AG564">
        <v>9</v>
      </c>
      <c r="AH564">
        <v>107</v>
      </c>
      <c r="AI564">
        <v>116</v>
      </c>
      <c r="AJ564">
        <v>0</v>
      </c>
      <c r="AK564">
        <v>15</v>
      </c>
      <c r="AL564" t="s">
        <v>230</v>
      </c>
      <c r="AM564" t="s">
        <v>231</v>
      </c>
      <c r="AN564" t="s">
        <v>232</v>
      </c>
      <c r="AO564" t="s">
        <v>382</v>
      </c>
      <c r="AP564" t="s">
        <v>74</v>
      </c>
      <c r="AQ564" t="s">
        <v>74</v>
      </c>
      <c r="AR564" t="s">
        <v>383</v>
      </c>
      <c r="AS564" t="s">
        <v>384</v>
      </c>
      <c r="AT564" t="s">
        <v>7501</v>
      </c>
      <c r="AU564">
        <v>1999</v>
      </c>
      <c r="AV564">
        <v>26</v>
      </c>
      <c r="AW564">
        <v>10</v>
      </c>
      <c r="AX564" t="s">
        <v>74</v>
      </c>
      <c r="AY564" t="s">
        <v>74</v>
      </c>
      <c r="AZ564" t="s">
        <v>74</v>
      </c>
      <c r="BA564" t="s">
        <v>74</v>
      </c>
      <c r="BB564">
        <v>1465</v>
      </c>
      <c r="BC564">
        <v>1468</v>
      </c>
      <c r="BD564" t="s">
        <v>74</v>
      </c>
      <c r="BE564" t="s">
        <v>7534</v>
      </c>
      <c r="BF564" t="str">
        <f>HYPERLINK("http://dx.doi.org/10.1029/1999GL900242","http://dx.doi.org/10.1029/1999GL900242")</f>
        <v>http://dx.doi.org/10.1029/1999GL900242</v>
      </c>
      <c r="BG564" t="s">
        <v>74</v>
      </c>
      <c r="BH564" t="s">
        <v>74</v>
      </c>
      <c r="BI564">
        <v>4</v>
      </c>
      <c r="BJ564" t="s">
        <v>387</v>
      </c>
      <c r="BK564" t="s">
        <v>96</v>
      </c>
      <c r="BL564" t="s">
        <v>388</v>
      </c>
      <c r="BM564" t="s">
        <v>7503</v>
      </c>
      <c r="BN564" t="s">
        <v>74</v>
      </c>
      <c r="BO564" t="s">
        <v>495</v>
      </c>
      <c r="BP564" t="s">
        <v>74</v>
      </c>
      <c r="BQ564" t="s">
        <v>74</v>
      </c>
      <c r="BR564" t="s">
        <v>99</v>
      </c>
      <c r="BS564" t="s">
        <v>7535</v>
      </c>
      <c r="BT564" t="str">
        <f>HYPERLINK("https%3A%2F%2Fwww.webofscience.com%2Fwos%2Fwoscc%2Ffull-record%2FWOS:000080374500031","View Full Record in Web of Science")</f>
        <v>View Full Record in Web of Science</v>
      </c>
    </row>
    <row r="565" spans="1:72" x14ac:dyDescent="0.15">
      <c r="A565" t="s">
        <v>72</v>
      </c>
      <c r="B565" t="s">
        <v>7536</v>
      </c>
      <c r="C565" t="s">
        <v>74</v>
      </c>
      <c r="D565" t="s">
        <v>74</v>
      </c>
      <c r="E565" t="s">
        <v>74</v>
      </c>
      <c r="F565" t="s">
        <v>7536</v>
      </c>
      <c r="G565" t="s">
        <v>74</v>
      </c>
      <c r="H565" t="s">
        <v>74</v>
      </c>
      <c r="I565" t="s">
        <v>7537</v>
      </c>
      <c r="J565" t="s">
        <v>378</v>
      </c>
      <c r="K565" t="s">
        <v>74</v>
      </c>
      <c r="L565" t="s">
        <v>74</v>
      </c>
      <c r="M565" t="s">
        <v>77</v>
      </c>
      <c r="N565" t="s">
        <v>78</v>
      </c>
      <c r="O565" t="s">
        <v>74</v>
      </c>
      <c r="P565" t="s">
        <v>74</v>
      </c>
      <c r="Q565" t="s">
        <v>74</v>
      </c>
      <c r="R565" t="s">
        <v>74</v>
      </c>
      <c r="S565" t="s">
        <v>74</v>
      </c>
      <c r="T565" t="s">
        <v>74</v>
      </c>
      <c r="U565" t="s">
        <v>7538</v>
      </c>
      <c r="V565" t="s">
        <v>7539</v>
      </c>
      <c r="W565" t="s">
        <v>7540</v>
      </c>
      <c r="X565" t="s">
        <v>7541</v>
      </c>
      <c r="Y565" t="s">
        <v>7542</v>
      </c>
      <c r="Z565" t="s">
        <v>74</v>
      </c>
      <c r="AA565" t="s">
        <v>74</v>
      </c>
      <c r="AB565" t="s">
        <v>6683</v>
      </c>
      <c r="AC565" t="s">
        <v>74</v>
      </c>
      <c r="AD565" t="s">
        <v>74</v>
      </c>
      <c r="AE565" t="s">
        <v>74</v>
      </c>
      <c r="AF565" t="s">
        <v>74</v>
      </c>
      <c r="AG565">
        <v>12</v>
      </c>
      <c r="AH565">
        <v>27</v>
      </c>
      <c r="AI565">
        <v>30</v>
      </c>
      <c r="AJ565">
        <v>0</v>
      </c>
      <c r="AK565">
        <v>3</v>
      </c>
      <c r="AL565" t="s">
        <v>230</v>
      </c>
      <c r="AM565" t="s">
        <v>231</v>
      </c>
      <c r="AN565" t="s">
        <v>232</v>
      </c>
      <c r="AO565" t="s">
        <v>382</v>
      </c>
      <c r="AP565" t="s">
        <v>74</v>
      </c>
      <c r="AQ565" t="s">
        <v>74</v>
      </c>
      <c r="AR565" t="s">
        <v>383</v>
      </c>
      <c r="AS565" t="s">
        <v>384</v>
      </c>
      <c r="AT565" t="s">
        <v>7501</v>
      </c>
      <c r="AU565">
        <v>1999</v>
      </c>
      <c r="AV565">
        <v>26</v>
      </c>
      <c r="AW565">
        <v>10</v>
      </c>
      <c r="AX565" t="s">
        <v>74</v>
      </c>
      <c r="AY565" t="s">
        <v>74</v>
      </c>
      <c r="AZ565" t="s">
        <v>74</v>
      </c>
      <c r="BA565" t="s">
        <v>74</v>
      </c>
      <c r="BB565">
        <v>1481</v>
      </c>
      <c r="BC565">
        <v>1484</v>
      </c>
      <c r="BD565" t="s">
        <v>74</v>
      </c>
      <c r="BE565" t="s">
        <v>7543</v>
      </c>
      <c r="BF565" t="str">
        <f>HYPERLINK("http://dx.doi.org/10.1029/1999GL900292","http://dx.doi.org/10.1029/1999GL900292")</f>
        <v>http://dx.doi.org/10.1029/1999GL900292</v>
      </c>
      <c r="BG565" t="s">
        <v>74</v>
      </c>
      <c r="BH565" t="s">
        <v>74</v>
      </c>
      <c r="BI565">
        <v>4</v>
      </c>
      <c r="BJ565" t="s">
        <v>387</v>
      </c>
      <c r="BK565" t="s">
        <v>96</v>
      </c>
      <c r="BL565" t="s">
        <v>388</v>
      </c>
      <c r="BM565" t="s">
        <v>7503</v>
      </c>
      <c r="BN565" t="s">
        <v>74</v>
      </c>
      <c r="BO565" t="s">
        <v>250</v>
      </c>
      <c r="BP565" t="s">
        <v>74</v>
      </c>
      <c r="BQ565" t="s">
        <v>74</v>
      </c>
      <c r="BR565" t="s">
        <v>99</v>
      </c>
      <c r="BS565" t="s">
        <v>7544</v>
      </c>
      <c r="BT565" t="str">
        <f>HYPERLINK("https%3A%2F%2Fwww.webofscience.com%2Fwos%2Fwoscc%2Ffull-record%2FWOS:000080374500035","View Full Record in Web of Science")</f>
        <v>View Full Record in Web of Science</v>
      </c>
    </row>
    <row r="566" spans="1:72" x14ac:dyDescent="0.15">
      <c r="A566" t="s">
        <v>72</v>
      </c>
      <c r="B566" t="s">
        <v>7545</v>
      </c>
      <c r="C566" t="s">
        <v>74</v>
      </c>
      <c r="D566" t="s">
        <v>74</v>
      </c>
      <c r="E566" t="s">
        <v>74</v>
      </c>
      <c r="F566" t="s">
        <v>7545</v>
      </c>
      <c r="G566" t="s">
        <v>74</v>
      </c>
      <c r="H566" t="s">
        <v>74</v>
      </c>
      <c r="I566" t="s">
        <v>7546</v>
      </c>
      <c r="J566" t="s">
        <v>403</v>
      </c>
      <c r="K566" t="s">
        <v>74</v>
      </c>
      <c r="L566" t="s">
        <v>74</v>
      </c>
      <c r="M566" t="s">
        <v>77</v>
      </c>
      <c r="N566" t="s">
        <v>78</v>
      </c>
      <c r="O566" t="s">
        <v>74</v>
      </c>
      <c r="P566" t="s">
        <v>74</v>
      </c>
      <c r="Q566" t="s">
        <v>74</v>
      </c>
      <c r="R566" t="s">
        <v>74</v>
      </c>
      <c r="S566" t="s">
        <v>74</v>
      </c>
      <c r="T566" t="s">
        <v>74</v>
      </c>
      <c r="U566" t="s">
        <v>7547</v>
      </c>
      <c r="V566" t="s">
        <v>7548</v>
      </c>
      <c r="W566" t="s">
        <v>7549</v>
      </c>
      <c r="X566" t="s">
        <v>7550</v>
      </c>
      <c r="Y566" t="s">
        <v>7551</v>
      </c>
      <c r="Z566" t="s">
        <v>7552</v>
      </c>
      <c r="AA566" t="s">
        <v>74</v>
      </c>
      <c r="AB566" t="s">
        <v>74</v>
      </c>
      <c r="AC566" t="s">
        <v>74</v>
      </c>
      <c r="AD566" t="s">
        <v>74</v>
      </c>
      <c r="AE566" t="s">
        <v>74</v>
      </c>
      <c r="AF566" t="s">
        <v>74</v>
      </c>
      <c r="AG566">
        <v>30</v>
      </c>
      <c r="AH566">
        <v>0</v>
      </c>
      <c r="AI566">
        <v>0</v>
      </c>
      <c r="AJ566">
        <v>0</v>
      </c>
      <c r="AK566">
        <v>0</v>
      </c>
      <c r="AL566" t="s">
        <v>230</v>
      </c>
      <c r="AM566" t="s">
        <v>231</v>
      </c>
      <c r="AN566" t="s">
        <v>232</v>
      </c>
      <c r="AO566" t="s">
        <v>410</v>
      </c>
      <c r="AP566" t="s">
        <v>411</v>
      </c>
      <c r="AQ566" t="s">
        <v>74</v>
      </c>
      <c r="AR566" t="s">
        <v>412</v>
      </c>
      <c r="AS566" t="s">
        <v>413</v>
      </c>
      <c r="AT566" t="s">
        <v>7501</v>
      </c>
      <c r="AU566">
        <v>1999</v>
      </c>
      <c r="AV566">
        <v>104</v>
      </c>
      <c r="AW566" t="s">
        <v>7553</v>
      </c>
      <c r="AX566" t="s">
        <v>74</v>
      </c>
      <c r="AY566" t="s">
        <v>74</v>
      </c>
      <c r="AZ566" t="s">
        <v>74</v>
      </c>
      <c r="BA566" t="s">
        <v>74</v>
      </c>
      <c r="BB566">
        <v>11009</v>
      </c>
      <c r="BC566">
        <v>11019</v>
      </c>
      <c r="BD566" t="s">
        <v>74</v>
      </c>
      <c r="BE566" t="s">
        <v>7554</v>
      </c>
      <c r="BF566" t="str">
        <f>HYPERLINK("http://dx.doi.org/10.1029/1998JC900129","http://dx.doi.org/10.1029/1998JC900129")</f>
        <v>http://dx.doi.org/10.1029/1998JC900129</v>
      </c>
      <c r="BG566" t="s">
        <v>74</v>
      </c>
      <c r="BH566" t="s">
        <v>74</v>
      </c>
      <c r="BI566">
        <v>11</v>
      </c>
      <c r="BJ566" t="s">
        <v>416</v>
      </c>
      <c r="BK566" t="s">
        <v>96</v>
      </c>
      <c r="BL566" t="s">
        <v>416</v>
      </c>
      <c r="BM566" t="s">
        <v>7555</v>
      </c>
      <c r="BN566" t="s">
        <v>74</v>
      </c>
      <c r="BO566" t="s">
        <v>250</v>
      </c>
      <c r="BP566" t="s">
        <v>74</v>
      </c>
      <c r="BQ566" t="s">
        <v>74</v>
      </c>
      <c r="BR566" t="s">
        <v>99</v>
      </c>
      <c r="BS566" t="s">
        <v>7556</v>
      </c>
      <c r="BT566" t="str">
        <f>HYPERLINK("https%3A%2F%2Fwww.webofscience.com%2Fwos%2Fwoscc%2Ffull-record%2FWOS:000080448200008","View Full Record in Web of Science")</f>
        <v>View Full Record in Web of Science</v>
      </c>
    </row>
    <row r="567" spans="1:72" x14ac:dyDescent="0.15">
      <c r="A567" t="s">
        <v>72</v>
      </c>
      <c r="B567" t="s">
        <v>7557</v>
      </c>
      <c r="C567" t="s">
        <v>74</v>
      </c>
      <c r="D567" t="s">
        <v>74</v>
      </c>
      <c r="E567" t="s">
        <v>74</v>
      </c>
      <c r="F567" t="s">
        <v>7557</v>
      </c>
      <c r="G567" t="s">
        <v>74</v>
      </c>
      <c r="H567" t="s">
        <v>74</v>
      </c>
      <c r="I567" t="s">
        <v>7558</v>
      </c>
      <c r="J567" t="s">
        <v>403</v>
      </c>
      <c r="K567" t="s">
        <v>74</v>
      </c>
      <c r="L567" t="s">
        <v>74</v>
      </c>
      <c r="M567" t="s">
        <v>77</v>
      </c>
      <c r="N567" t="s">
        <v>78</v>
      </c>
      <c r="O567" t="s">
        <v>74</v>
      </c>
      <c r="P567" t="s">
        <v>74</v>
      </c>
      <c r="Q567" t="s">
        <v>74</v>
      </c>
      <c r="R567" t="s">
        <v>74</v>
      </c>
      <c r="S567" t="s">
        <v>74</v>
      </c>
      <c r="T567" t="s">
        <v>74</v>
      </c>
      <c r="U567" t="s">
        <v>7559</v>
      </c>
      <c r="V567" t="s">
        <v>7560</v>
      </c>
      <c r="W567" t="s">
        <v>7561</v>
      </c>
      <c r="X567" t="s">
        <v>1557</v>
      </c>
      <c r="Y567" t="s">
        <v>7562</v>
      </c>
      <c r="Z567" t="s">
        <v>7563</v>
      </c>
      <c r="AA567" t="s">
        <v>7564</v>
      </c>
      <c r="AB567" t="s">
        <v>7565</v>
      </c>
      <c r="AC567" t="s">
        <v>74</v>
      </c>
      <c r="AD567" t="s">
        <v>74</v>
      </c>
      <c r="AE567" t="s">
        <v>74</v>
      </c>
      <c r="AF567" t="s">
        <v>74</v>
      </c>
      <c r="AG567">
        <v>33</v>
      </c>
      <c r="AH567">
        <v>19</v>
      </c>
      <c r="AI567">
        <v>21</v>
      </c>
      <c r="AJ567">
        <v>0</v>
      </c>
      <c r="AK567">
        <v>0</v>
      </c>
      <c r="AL567" t="s">
        <v>230</v>
      </c>
      <c r="AM567" t="s">
        <v>231</v>
      </c>
      <c r="AN567" t="s">
        <v>232</v>
      </c>
      <c r="AO567" t="s">
        <v>410</v>
      </c>
      <c r="AP567" t="s">
        <v>411</v>
      </c>
      <c r="AQ567" t="s">
        <v>74</v>
      </c>
      <c r="AR567" t="s">
        <v>412</v>
      </c>
      <c r="AS567" t="s">
        <v>413</v>
      </c>
      <c r="AT567" t="s">
        <v>7501</v>
      </c>
      <c r="AU567">
        <v>1999</v>
      </c>
      <c r="AV567">
        <v>104</v>
      </c>
      <c r="AW567" t="s">
        <v>7553</v>
      </c>
      <c r="AX567" t="s">
        <v>74</v>
      </c>
      <c r="AY567" t="s">
        <v>74</v>
      </c>
      <c r="AZ567" t="s">
        <v>74</v>
      </c>
      <c r="BA567" t="s">
        <v>74</v>
      </c>
      <c r="BB567">
        <v>11049</v>
      </c>
      <c r="BC567">
        <v>11064</v>
      </c>
      <c r="BD567" t="s">
        <v>74</v>
      </c>
      <c r="BE567" t="s">
        <v>7566</v>
      </c>
      <c r="BF567" t="str">
        <f>HYPERLINK("http://dx.doi.org/10.1029/1999JC900040","http://dx.doi.org/10.1029/1999JC900040")</f>
        <v>http://dx.doi.org/10.1029/1999JC900040</v>
      </c>
      <c r="BG567" t="s">
        <v>74</v>
      </c>
      <c r="BH567" t="s">
        <v>74</v>
      </c>
      <c r="BI567">
        <v>16</v>
      </c>
      <c r="BJ567" t="s">
        <v>416</v>
      </c>
      <c r="BK567" t="s">
        <v>96</v>
      </c>
      <c r="BL567" t="s">
        <v>416</v>
      </c>
      <c r="BM567" t="s">
        <v>7555</v>
      </c>
      <c r="BN567" t="s">
        <v>74</v>
      </c>
      <c r="BO567" t="s">
        <v>74</v>
      </c>
      <c r="BP567" t="s">
        <v>74</v>
      </c>
      <c r="BQ567" t="s">
        <v>74</v>
      </c>
      <c r="BR567" t="s">
        <v>99</v>
      </c>
      <c r="BS567" t="s">
        <v>7567</v>
      </c>
      <c r="BT567" t="str">
        <f>HYPERLINK("https%3A%2F%2Fwww.webofscience.com%2Fwos%2Fwoscc%2Ffull-record%2FWOS:000080448200011","View Full Record in Web of Science")</f>
        <v>View Full Record in Web of Science</v>
      </c>
    </row>
    <row r="568" spans="1:72" x14ac:dyDescent="0.15">
      <c r="A568" t="s">
        <v>72</v>
      </c>
      <c r="B568" t="s">
        <v>7568</v>
      </c>
      <c r="C568" t="s">
        <v>74</v>
      </c>
      <c r="D568" t="s">
        <v>74</v>
      </c>
      <c r="E568" t="s">
        <v>74</v>
      </c>
      <c r="F568" t="s">
        <v>7568</v>
      </c>
      <c r="G568" t="s">
        <v>74</v>
      </c>
      <c r="H568" t="s">
        <v>74</v>
      </c>
      <c r="I568" t="s">
        <v>7569</v>
      </c>
      <c r="J568" t="s">
        <v>7478</v>
      </c>
      <c r="K568" t="s">
        <v>74</v>
      </c>
      <c r="L568" t="s">
        <v>74</v>
      </c>
      <c r="M568" t="s">
        <v>77</v>
      </c>
      <c r="N568" t="s">
        <v>78</v>
      </c>
      <c r="O568" t="s">
        <v>74</v>
      </c>
      <c r="P568" t="s">
        <v>74</v>
      </c>
      <c r="Q568" t="s">
        <v>74</v>
      </c>
      <c r="R568" t="s">
        <v>74</v>
      </c>
      <c r="S568" t="s">
        <v>74</v>
      </c>
      <c r="T568" t="s">
        <v>7570</v>
      </c>
      <c r="U568" t="s">
        <v>7571</v>
      </c>
      <c r="V568" t="s">
        <v>7572</v>
      </c>
      <c r="W568" t="s">
        <v>7573</v>
      </c>
      <c r="X568" t="s">
        <v>7574</v>
      </c>
      <c r="Y568" t="s">
        <v>7575</v>
      </c>
      <c r="Z568" t="s">
        <v>7576</v>
      </c>
      <c r="AA568" t="s">
        <v>7577</v>
      </c>
      <c r="AB568" t="s">
        <v>7578</v>
      </c>
      <c r="AC568" t="s">
        <v>74</v>
      </c>
      <c r="AD568" t="s">
        <v>74</v>
      </c>
      <c r="AE568" t="s">
        <v>74</v>
      </c>
      <c r="AF568" t="s">
        <v>74</v>
      </c>
      <c r="AG568">
        <v>17</v>
      </c>
      <c r="AH568">
        <v>41</v>
      </c>
      <c r="AI568">
        <v>44</v>
      </c>
      <c r="AJ568">
        <v>0</v>
      </c>
      <c r="AK568">
        <v>6</v>
      </c>
      <c r="AL568" t="s">
        <v>210</v>
      </c>
      <c r="AM568" t="s">
        <v>211</v>
      </c>
      <c r="AN568" t="s">
        <v>212</v>
      </c>
      <c r="AO568" t="s">
        <v>7486</v>
      </c>
      <c r="AP568" t="s">
        <v>7579</v>
      </c>
      <c r="AQ568" t="s">
        <v>74</v>
      </c>
      <c r="AR568" t="s">
        <v>7487</v>
      </c>
      <c r="AS568" t="s">
        <v>7488</v>
      </c>
      <c r="AT568" t="s">
        <v>7580</v>
      </c>
      <c r="AU568">
        <v>1999</v>
      </c>
      <c r="AV568">
        <v>389</v>
      </c>
      <c r="AW568" t="s">
        <v>2622</v>
      </c>
      <c r="AX568" t="s">
        <v>74</v>
      </c>
      <c r="AY568" t="s">
        <v>74</v>
      </c>
      <c r="AZ568" t="s">
        <v>74</v>
      </c>
      <c r="BA568" t="s">
        <v>74</v>
      </c>
      <c r="BB568">
        <v>21</v>
      </c>
      <c r="BC568">
        <v>29</v>
      </c>
      <c r="BD568" t="s">
        <v>74</v>
      </c>
      <c r="BE568" t="s">
        <v>7581</v>
      </c>
      <c r="BF568" t="str">
        <f>HYPERLINK("http://dx.doi.org/10.1016/S0003-2670(99)00185-3","http://dx.doi.org/10.1016/S0003-2670(99)00185-3")</f>
        <v>http://dx.doi.org/10.1016/S0003-2670(99)00185-3</v>
      </c>
      <c r="BG568" t="s">
        <v>74</v>
      </c>
      <c r="BH568" t="s">
        <v>74</v>
      </c>
      <c r="BI568">
        <v>9</v>
      </c>
      <c r="BJ568" t="s">
        <v>7491</v>
      </c>
      <c r="BK568" t="s">
        <v>96</v>
      </c>
      <c r="BL568" t="s">
        <v>285</v>
      </c>
      <c r="BM568" t="s">
        <v>7582</v>
      </c>
      <c r="BN568" t="s">
        <v>74</v>
      </c>
      <c r="BO568" t="s">
        <v>74</v>
      </c>
      <c r="BP568" t="s">
        <v>74</v>
      </c>
      <c r="BQ568" t="s">
        <v>74</v>
      </c>
      <c r="BR568" t="s">
        <v>99</v>
      </c>
      <c r="BS568" t="s">
        <v>7583</v>
      </c>
      <c r="BT568" t="str">
        <f>HYPERLINK("https%3A%2F%2Fwww.webofscience.com%2Fwos%2Fwoscc%2Ffull-record%2FWOS:000080527900003","View Full Record in Web of Science")</f>
        <v>View Full Record in Web of Science</v>
      </c>
    </row>
    <row r="569" spans="1:72" x14ac:dyDescent="0.15">
      <c r="A569" t="s">
        <v>72</v>
      </c>
      <c r="B569" t="s">
        <v>7584</v>
      </c>
      <c r="C569" t="s">
        <v>74</v>
      </c>
      <c r="D569" t="s">
        <v>74</v>
      </c>
      <c r="E569" t="s">
        <v>74</v>
      </c>
      <c r="F569" t="s">
        <v>7584</v>
      </c>
      <c r="G569" t="s">
        <v>74</v>
      </c>
      <c r="H569" t="s">
        <v>74</v>
      </c>
      <c r="I569" t="s">
        <v>7585</v>
      </c>
      <c r="J569" t="s">
        <v>2692</v>
      </c>
      <c r="K569" t="s">
        <v>74</v>
      </c>
      <c r="L569" t="s">
        <v>74</v>
      </c>
      <c r="M569" t="s">
        <v>77</v>
      </c>
      <c r="N569" t="s">
        <v>2339</v>
      </c>
      <c r="O569" t="s">
        <v>74</v>
      </c>
      <c r="P569" t="s">
        <v>74</v>
      </c>
      <c r="Q569" t="s">
        <v>74</v>
      </c>
      <c r="R569" t="s">
        <v>74</v>
      </c>
      <c r="S569" t="s">
        <v>74</v>
      </c>
      <c r="T569" t="s">
        <v>74</v>
      </c>
      <c r="U569" t="s">
        <v>7586</v>
      </c>
      <c r="V569" t="s">
        <v>74</v>
      </c>
      <c r="W569" t="s">
        <v>7587</v>
      </c>
      <c r="X569" t="s">
        <v>131</v>
      </c>
      <c r="Y569" t="s">
        <v>7588</v>
      </c>
      <c r="Z569" t="s">
        <v>74</v>
      </c>
      <c r="AA569" t="s">
        <v>74</v>
      </c>
      <c r="AB569" t="s">
        <v>74</v>
      </c>
      <c r="AC569" t="s">
        <v>74</v>
      </c>
      <c r="AD569" t="s">
        <v>74</v>
      </c>
      <c r="AE569" t="s">
        <v>74</v>
      </c>
      <c r="AF569" t="s">
        <v>74</v>
      </c>
      <c r="AG569">
        <v>9</v>
      </c>
      <c r="AH569">
        <v>231</v>
      </c>
      <c r="AI569">
        <v>248</v>
      </c>
      <c r="AJ569">
        <v>1</v>
      </c>
      <c r="AK569">
        <v>100</v>
      </c>
      <c r="AL569" t="s">
        <v>2693</v>
      </c>
      <c r="AM569" t="s">
        <v>531</v>
      </c>
      <c r="AN569" t="s">
        <v>2694</v>
      </c>
      <c r="AO569" t="s">
        <v>2695</v>
      </c>
      <c r="AP569" t="s">
        <v>74</v>
      </c>
      <c r="AQ569" t="s">
        <v>74</v>
      </c>
      <c r="AR569" t="s">
        <v>2692</v>
      </c>
      <c r="AS569" t="s">
        <v>2696</v>
      </c>
      <c r="AT569" t="s">
        <v>7589</v>
      </c>
      <c r="AU569">
        <v>1999</v>
      </c>
      <c r="AV569">
        <v>399</v>
      </c>
      <c r="AW569">
        <v>6732</v>
      </c>
      <c r="AX569" t="s">
        <v>74</v>
      </c>
      <c r="AY569" t="s">
        <v>74</v>
      </c>
      <c r="AZ569" t="s">
        <v>74</v>
      </c>
      <c r="BA569" t="s">
        <v>74</v>
      </c>
      <c r="BB569">
        <v>114</v>
      </c>
      <c r="BC569">
        <v>115</v>
      </c>
      <c r="BD569" t="s">
        <v>74</v>
      </c>
      <c r="BE569" t="s">
        <v>7590</v>
      </c>
      <c r="BF569" t="str">
        <f>HYPERLINK("http://dx.doi.org/10.1038/20099","http://dx.doi.org/10.1038/20099")</f>
        <v>http://dx.doi.org/10.1038/20099</v>
      </c>
      <c r="BG569" t="s">
        <v>74</v>
      </c>
      <c r="BH569" t="s">
        <v>74</v>
      </c>
      <c r="BI569">
        <v>2</v>
      </c>
      <c r="BJ569" t="s">
        <v>303</v>
      </c>
      <c r="BK569" t="s">
        <v>96</v>
      </c>
      <c r="BL569" t="s">
        <v>304</v>
      </c>
      <c r="BM569" t="s">
        <v>7591</v>
      </c>
      <c r="BN569" t="s">
        <v>74</v>
      </c>
      <c r="BO569" t="s">
        <v>74</v>
      </c>
      <c r="BP569" t="s">
        <v>74</v>
      </c>
      <c r="BQ569" t="s">
        <v>74</v>
      </c>
      <c r="BR569" t="s">
        <v>99</v>
      </c>
      <c r="BS569" t="s">
        <v>7592</v>
      </c>
      <c r="BT569" t="str">
        <f>HYPERLINK("https%3A%2F%2Fwww.webofscience.com%2Fwos%2Fwoscc%2Ffull-record%2FWOS:000080335700033","View Full Record in Web of Science")</f>
        <v>View Full Record in Web of Science</v>
      </c>
    </row>
    <row r="570" spans="1:72" x14ac:dyDescent="0.15">
      <c r="A570" t="s">
        <v>72</v>
      </c>
      <c r="B570" t="s">
        <v>7593</v>
      </c>
      <c r="C570" t="s">
        <v>74</v>
      </c>
      <c r="D570" t="s">
        <v>74</v>
      </c>
      <c r="E570" t="s">
        <v>74</v>
      </c>
      <c r="F570" t="s">
        <v>7593</v>
      </c>
      <c r="G570" t="s">
        <v>74</v>
      </c>
      <c r="H570" t="s">
        <v>74</v>
      </c>
      <c r="I570" t="s">
        <v>7594</v>
      </c>
      <c r="J570" t="s">
        <v>2628</v>
      </c>
      <c r="K570" t="s">
        <v>74</v>
      </c>
      <c r="L570" t="s">
        <v>74</v>
      </c>
      <c r="M570" t="s">
        <v>77</v>
      </c>
      <c r="N570" t="s">
        <v>78</v>
      </c>
      <c r="O570" t="s">
        <v>74</v>
      </c>
      <c r="P570" t="s">
        <v>74</v>
      </c>
      <c r="Q570" t="s">
        <v>74</v>
      </c>
      <c r="R570" t="s">
        <v>74</v>
      </c>
      <c r="S570" t="s">
        <v>74</v>
      </c>
      <c r="T570" t="s">
        <v>74</v>
      </c>
      <c r="U570" t="s">
        <v>7595</v>
      </c>
      <c r="V570" t="s">
        <v>7596</v>
      </c>
      <c r="W570" t="s">
        <v>7597</v>
      </c>
      <c r="X570" t="s">
        <v>7598</v>
      </c>
      <c r="Y570" t="s">
        <v>7599</v>
      </c>
      <c r="Z570" t="s">
        <v>74</v>
      </c>
      <c r="AA570" t="s">
        <v>74</v>
      </c>
      <c r="AB570" t="s">
        <v>74</v>
      </c>
      <c r="AC570" t="s">
        <v>74</v>
      </c>
      <c r="AD570" t="s">
        <v>74</v>
      </c>
      <c r="AE570" t="s">
        <v>74</v>
      </c>
      <c r="AF570" t="s">
        <v>74</v>
      </c>
      <c r="AG570">
        <v>26</v>
      </c>
      <c r="AH570">
        <v>13</v>
      </c>
      <c r="AI570">
        <v>13</v>
      </c>
      <c r="AJ570">
        <v>0</v>
      </c>
      <c r="AK570">
        <v>11</v>
      </c>
      <c r="AL570" t="s">
        <v>365</v>
      </c>
      <c r="AM570" t="s">
        <v>231</v>
      </c>
      <c r="AN570" t="s">
        <v>366</v>
      </c>
      <c r="AO570" t="s">
        <v>2636</v>
      </c>
      <c r="AP570" t="s">
        <v>7435</v>
      </c>
      <c r="AQ570" t="s">
        <v>74</v>
      </c>
      <c r="AR570" t="s">
        <v>2637</v>
      </c>
      <c r="AS570" t="s">
        <v>2638</v>
      </c>
      <c r="AT570" t="s">
        <v>7600</v>
      </c>
      <c r="AU570">
        <v>1999</v>
      </c>
      <c r="AV570">
        <v>103</v>
      </c>
      <c r="AW570">
        <v>18</v>
      </c>
      <c r="AX570" t="s">
        <v>74</v>
      </c>
      <c r="AY570" t="s">
        <v>74</v>
      </c>
      <c r="AZ570" t="s">
        <v>74</v>
      </c>
      <c r="BA570" t="s">
        <v>74</v>
      </c>
      <c r="BB570">
        <v>3677</v>
      </c>
      <c r="BC570">
        <v>3681</v>
      </c>
      <c r="BD570" t="s">
        <v>74</v>
      </c>
      <c r="BE570" t="s">
        <v>7601</v>
      </c>
      <c r="BF570" t="str">
        <f>HYPERLINK("http://dx.doi.org/10.1021/jp983517u","http://dx.doi.org/10.1021/jp983517u")</f>
        <v>http://dx.doi.org/10.1021/jp983517u</v>
      </c>
      <c r="BG570" t="s">
        <v>74</v>
      </c>
      <c r="BH570" t="s">
        <v>74</v>
      </c>
      <c r="BI570">
        <v>5</v>
      </c>
      <c r="BJ570" t="s">
        <v>2640</v>
      </c>
      <c r="BK570" t="s">
        <v>96</v>
      </c>
      <c r="BL570" t="s">
        <v>285</v>
      </c>
      <c r="BM570" t="s">
        <v>7602</v>
      </c>
      <c r="BN570" t="s">
        <v>74</v>
      </c>
      <c r="BO570" t="s">
        <v>74</v>
      </c>
      <c r="BP570" t="s">
        <v>74</v>
      </c>
      <c r="BQ570" t="s">
        <v>74</v>
      </c>
      <c r="BR570" t="s">
        <v>99</v>
      </c>
      <c r="BS570" t="s">
        <v>7603</v>
      </c>
      <c r="BT570" t="str">
        <f>HYPERLINK("https%3A%2F%2Fwww.webofscience.com%2Fwos%2Fwoscc%2Ffull-record%2FWOS:000080303800027","View Full Record in Web of Science")</f>
        <v>View Full Record in Web of Science</v>
      </c>
    </row>
    <row r="571" spans="1:72" x14ac:dyDescent="0.15">
      <c r="A571" t="s">
        <v>72</v>
      </c>
      <c r="B571" t="s">
        <v>7604</v>
      </c>
      <c r="C571" t="s">
        <v>74</v>
      </c>
      <c r="D571" t="s">
        <v>74</v>
      </c>
      <c r="E571" t="s">
        <v>74</v>
      </c>
      <c r="F571" t="s">
        <v>7604</v>
      </c>
      <c r="G571" t="s">
        <v>74</v>
      </c>
      <c r="H571" t="s">
        <v>74</v>
      </c>
      <c r="I571" t="s">
        <v>7605</v>
      </c>
      <c r="J571" t="s">
        <v>7606</v>
      </c>
      <c r="K571" t="s">
        <v>74</v>
      </c>
      <c r="L571" t="s">
        <v>74</v>
      </c>
      <c r="M571" t="s">
        <v>77</v>
      </c>
      <c r="N571" t="s">
        <v>123</v>
      </c>
      <c r="O571" t="s">
        <v>7607</v>
      </c>
      <c r="P571" t="s">
        <v>7608</v>
      </c>
      <c r="Q571" t="s">
        <v>7609</v>
      </c>
      <c r="R571" t="s">
        <v>74</v>
      </c>
      <c r="S571" t="s">
        <v>74</v>
      </c>
      <c r="T571" t="s">
        <v>74</v>
      </c>
      <c r="U571" t="s">
        <v>7610</v>
      </c>
      <c r="V571" t="s">
        <v>7611</v>
      </c>
      <c r="W571" t="s">
        <v>7612</v>
      </c>
      <c r="X571" t="s">
        <v>7613</v>
      </c>
      <c r="Y571" t="s">
        <v>7614</v>
      </c>
      <c r="Z571" t="s">
        <v>74</v>
      </c>
      <c r="AA571" t="s">
        <v>7615</v>
      </c>
      <c r="AB571" t="s">
        <v>7616</v>
      </c>
      <c r="AC571" t="s">
        <v>74</v>
      </c>
      <c r="AD571" t="s">
        <v>74</v>
      </c>
      <c r="AE571" t="s">
        <v>74</v>
      </c>
      <c r="AF571" t="s">
        <v>74</v>
      </c>
      <c r="AG571">
        <v>14</v>
      </c>
      <c r="AH571">
        <v>3</v>
      </c>
      <c r="AI571">
        <v>3</v>
      </c>
      <c r="AJ571">
        <v>0</v>
      </c>
      <c r="AK571">
        <v>3</v>
      </c>
      <c r="AL571" t="s">
        <v>7617</v>
      </c>
      <c r="AM571" t="s">
        <v>7618</v>
      </c>
      <c r="AN571" t="s">
        <v>7619</v>
      </c>
      <c r="AO571" t="s">
        <v>7620</v>
      </c>
      <c r="AP571" t="s">
        <v>74</v>
      </c>
      <c r="AQ571" t="s">
        <v>74</v>
      </c>
      <c r="AR571" t="s">
        <v>7621</v>
      </c>
      <c r="AS571" t="s">
        <v>7622</v>
      </c>
      <c r="AT571" t="s">
        <v>7623</v>
      </c>
      <c r="AU571">
        <v>1999</v>
      </c>
      <c r="AV571">
        <v>30</v>
      </c>
      <c r="AW571">
        <v>5</v>
      </c>
      <c r="AX571" t="s">
        <v>74</v>
      </c>
      <c r="AY571" t="s">
        <v>74</v>
      </c>
      <c r="AZ571" t="s">
        <v>74</v>
      </c>
      <c r="BA571" t="s">
        <v>74</v>
      </c>
      <c r="BB571">
        <v>1629</v>
      </c>
      <c r="BC571">
        <v>1638</v>
      </c>
      <c r="BD571" t="s">
        <v>74</v>
      </c>
      <c r="BE571" t="s">
        <v>74</v>
      </c>
      <c r="BF571" t="s">
        <v>74</v>
      </c>
      <c r="BG571" t="s">
        <v>74</v>
      </c>
      <c r="BH571" t="s">
        <v>74</v>
      </c>
      <c r="BI571">
        <v>10</v>
      </c>
      <c r="BJ571" t="s">
        <v>7624</v>
      </c>
      <c r="BK571" t="s">
        <v>143</v>
      </c>
      <c r="BL571" t="s">
        <v>5684</v>
      </c>
      <c r="BM571" t="s">
        <v>7625</v>
      </c>
      <c r="BN571" t="s">
        <v>74</v>
      </c>
      <c r="BO571" t="s">
        <v>74</v>
      </c>
      <c r="BP571" t="s">
        <v>74</v>
      </c>
      <c r="BQ571" t="s">
        <v>74</v>
      </c>
      <c r="BR571" t="s">
        <v>99</v>
      </c>
      <c r="BS571" t="s">
        <v>7626</v>
      </c>
      <c r="BT571" t="str">
        <f>HYPERLINK("https%3A%2F%2Fwww.webofscience.com%2Fwos%2Fwoscc%2Ffull-record%2FWOS:000081194200049","View Full Record in Web of Science")</f>
        <v>View Full Record in Web of Science</v>
      </c>
    </row>
    <row r="572" spans="1:72" x14ac:dyDescent="0.15">
      <c r="A572" t="s">
        <v>72</v>
      </c>
      <c r="B572" t="s">
        <v>7627</v>
      </c>
      <c r="C572" t="s">
        <v>74</v>
      </c>
      <c r="D572" t="s">
        <v>74</v>
      </c>
      <c r="E572" t="s">
        <v>74</v>
      </c>
      <c r="F572" t="s">
        <v>7627</v>
      </c>
      <c r="G572" t="s">
        <v>74</v>
      </c>
      <c r="H572" t="s">
        <v>74</v>
      </c>
      <c r="I572" t="s">
        <v>7628</v>
      </c>
      <c r="J572" t="s">
        <v>579</v>
      </c>
      <c r="K572" t="s">
        <v>74</v>
      </c>
      <c r="L572" t="s">
        <v>74</v>
      </c>
      <c r="M572" t="s">
        <v>77</v>
      </c>
      <c r="N572" t="s">
        <v>78</v>
      </c>
      <c r="O572" t="s">
        <v>74</v>
      </c>
      <c r="P572" t="s">
        <v>74</v>
      </c>
      <c r="Q572" t="s">
        <v>74</v>
      </c>
      <c r="R572" t="s">
        <v>74</v>
      </c>
      <c r="S572" t="s">
        <v>74</v>
      </c>
      <c r="T572" t="s">
        <v>74</v>
      </c>
      <c r="U572" t="s">
        <v>7629</v>
      </c>
      <c r="V572" t="s">
        <v>7630</v>
      </c>
      <c r="W572" t="s">
        <v>7631</v>
      </c>
      <c r="X572" t="s">
        <v>7632</v>
      </c>
      <c r="Y572" t="s">
        <v>7633</v>
      </c>
      <c r="Z572" t="s">
        <v>7634</v>
      </c>
      <c r="AA572" t="s">
        <v>7635</v>
      </c>
      <c r="AB572" t="s">
        <v>7636</v>
      </c>
      <c r="AC572" t="s">
        <v>74</v>
      </c>
      <c r="AD572" t="s">
        <v>74</v>
      </c>
      <c r="AE572" t="s">
        <v>74</v>
      </c>
      <c r="AF572" t="s">
        <v>74</v>
      </c>
      <c r="AG572">
        <v>49</v>
      </c>
      <c r="AH572">
        <v>25</v>
      </c>
      <c r="AI572">
        <v>28</v>
      </c>
      <c r="AJ572">
        <v>0</v>
      </c>
      <c r="AK572">
        <v>3</v>
      </c>
      <c r="AL572" t="s">
        <v>1645</v>
      </c>
      <c r="AM572" t="s">
        <v>1646</v>
      </c>
      <c r="AN572" t="s">
        <v>1647</v>
      </c>
      <c r="AO572" t="s">
        <v>591</v>
      </c>
      <c r="AP572" t="s">
        <v>592</v>
      </c>
      <c r="AQ572" t="s">
        <v>74</v>
      </c>
      <c r="AR572" t="s">
        <v>593</v>
      </c>
      <c r="AS572" t="s">
        <v>594</v>
      </c>
      <c r="AT572" t="s">
        <v>7623</v>
      </c>
      <c r="AU572">
        <v>1999</v>
      </c>
      <c r="AV572">
        <v>31</v>
      </c>
      <c r="AW572">
        <v>2</v>
      </c>
      <c r="AX572" t="s">
        <v>74</v>
      </c>
      <c r="AY572" t="s">
        <v>74</v>
      </c>
      <c r="AZ572" t="s">
        <v>74</v>
      </c>
      <c r="BA572" t="s">
        <v>74</v>
      </c>
      <c r="BB572">
        <v>121</v>
      </c>
      <c r="BC572">
        <v>127</v>
      </c>
      <c r="BD572" t="s">
        <v>74</v>
      </c>
      <c r="BE572" t="s">
        <v>7637</v>
      </c>
      <c r="BF572" t="str">
        <f>HYPERLINK("http://dx.doi.org/10.2307/1552600","http://dx.doi.org/10.2307/1552600")</f>
        <v>http://dx.doi.org/10.2307/1552600</v>
      </c>
      <c r="BG572" t="s">
        <v>74</v>
      </c>
      <c r="BH572" t="s">
        <v>74</v>
      </c>
      <c r="BI572">
        <v>7</v>
      </c>
      <c r="BJ572" t="s">
        <v>596</v>
      </c>
      <c r="BK572" t="s">
        <v>96</v>
      </c>
      <c r="BL572" t="s">
        <v>597</v>
      </c>
      <c r="BM572" t="s">
        <v>7638</v>
      </c>
      <c r="BN572" t="s">
        <v>74</v>
      </c>
      <c r="BO572" t="s">
        <v>74</v>
      </c>
      <c r="BP572" t="s">
        <v>74</v>
      </c>
      <c r="BQ572" t="s">
        <v>74</v>
      </c>
      <c r="BR572" t="s">
        <v>99</v>
      </c>
      <c r="BS572" t="s">
        <v>7639</v>
      </c>
      <c r="BT572" t="str">
        <f>HYPERLINK("https%3A%2F%2Fwww.webofscience.com%2Fwos%2Fwoscc%2Ffull-record%2FWOS:000081160900001","View Full Record in Web of Science")</f>
        <v>View Full Record in Web of Science</v>
      </c>
    </row>
    <row r="573" spans="1:72" x14ac:dyDescent="0.15">
      <c r="A573" t="s">
        <v>72</v>
      </c>
      <c r="B573" t="s">
        <v>7640</v>
      </c>
      <c r="C573" t="s">
        <v>74</v>
      </c>
      <c r="D573" t="s">
        <v>74</v>
      </c>
      <c r="E573" t="s">
        <v>74</v>
      </c>
      <c r="F573" t="s">
        <v>7640</v>
      </c>
      <c r="G573" t="s">
        <v>74</v>
      </c>
      <c r="H573" t="s">
        <v>74</v>
      </c>
      <c r="I573" t="s">
        <v>7641</v>
      </c>
      <c r="J573" t="s">
        <v>579</v>
      </c>
      <c r="K573" t="s">
        <v>74</v>
      </c>
      <c r="L573" t="s">
        <v>74</v>
      </c>
      <c r="M573" t="s">
        <v>77</v>
      </c>
      <c r="N573" t="s">
        <v>78</v>
      </c>
      <c r="O573" t="s">
        <v>74</v>
      </c>
      <c r="P573" t="s">
        <v>74</v>
      </c>
      <c r="Q573" t="s">
        <v>74</v>
      </c>
      <c r="R573" t="s">
        <v>74</v>
      </c>
      <c r="S573" t="s">
        <v>74</v>
      </c>
      <c r="T573" t="s">
        <v>74</v>
      </c>
      <c r="U573" t="s">
        <v>74</v>
      </c>
      <c r="V573" t="s">
        <v>7642</v>
      </c>
      <c r="W573" t="s">
        <v>7643</v>
      </c>
      <c r="X573" t="s">
        <v>7644</v>
      </c>
      <c r="Y573" t="s">
        <v>7645</v>
      </c>
      <c r="Z573" t="s">
        <v>74</v>
      </c>
      <c r="AA573" t="s">
        <v>74</v>
      </c>
      <c r="AB573" t="s">
        <v>74</v>
      </c>
      <c r="AC573" t="s">
        <v>74</v>
      </c>
      <c r="AD573" t="s">
        <v>74</v>
      </c>
      <c r="AE573" t="s">
        <v>74</v>
      </c>
      <c r="AF573" t="s">
        <v>74</v>
      </c>
      <c r="AG573">
        <v>14</v>
      </c>
      <c r="AH573">
        <v>43</v>
      </c>
      <c r="AI573">
        <v>46</v>
      </c>
      <c r="AJ573">
        <v>0</v>
      </c>
      <c r="AK573">
        <v>7</v>
      </c>
      <c r="AL573" t="s">
        <v>588</v>
      </c>
      <c r="AM573" t="s">
        <v>589</v>
      </c>
      <c r="AN573" t="s">
        <v>590</v>
      </c>
      <c r="AO573" t="s">
        <v>591</v>
      </c>
      <c r="AP573" t="s">
        <v>74</v>
      </c>
      <c r="AQ573" t="s">
        <v>74</v>
      </c>
      <c r="AR573" t="s">
        <v>593</v>
      </c>
      <c r="AS573" t="s">
        <v>594</v>
      </c>
      <c r="AT573" t="s">
        <v>7623</v>
      </c>
      <c r="AU573">
        <v>1999</v>
      </c>
      <c r="AV573">
        <v>31</v>
      </c>
      <c r="AW573">
        <v>2</v>
      </c>
      <c r="AX573" t="s">
        <v>74</v>
      </c>
      <c r="AY573" t="s">
        <v>74</v>
      </c>
      <c r="AZ573" t="s">
        <v>74</v>
      </c>
      <c r="BA573" t="s">
        <v>74</v>
      </c>
      <c r="BB573">
        <v>128</v>
      </c>
      <c r="BC573">
        <v>134</v>
      </c>
      <c r="BD573" t="s">
        <v>74</v>
      </c>
      <c r="BE573" t="s">
        <v>7646</v>
      </c>
      <c r="BF573" t="str">
        <f>HYPERLINK("http://dx.doi.org/10.2307/1552601","http://dx.doi.org/10.2307/1552601")</f>
        <v>http://dx.doi.org/10.2307/1552601</v>
      </c>
      <c r="BG573" t="s">
        <v>74</v>
      </c>
      <c r="BH573" t="s">
        <v>74</v>
      </c>
      <c r="BI573">
        <v>7</v>
      </c>
      <c r="BJ573" t="s">
        <v>596</v>
      </c>
      <c r="BK573" t="s">
        <v>96</v>
      </c>
      <c r="BL573" t="s">
        <v>597</v>
      </c>
      <c r="BM573" t="s">
        <v>7638</v>
      </c>
      <c r="BN573" t="s">
        <v>74</v>
      </c>
      <c r="BO573" t="s">
        <v>2824</v>
      </c>
      <c r="BP573" t="s">
        <v>74</v>
      </c>
      <c r="BQ573" t="s">
        <v>74</v>
      </c>
      <c r="BR573" t="s">
        <v>99</v>
      </c>
      <c r="BS573" t="s">
        <v>7647</v>
      </c>
      <c r="BT573" t="str">
        <f>HYPERLINK("https%3A%2F%2Fwww.webofscience.com%2Fwos%2Fwoscc%2Ffull-record%2FWOS:000081160900002","View Full Record in Web of Science")</f>
        <v>View Full Record in Web of Science</v>
      </c>
    </row>
    <row r="574" spans="1:72" x14ac:dyDescent="0.15">
      <c r="A574" t="s">
        <v>72</v>
      </c>
      <c r="B574" t="s">
        <v>7648</v>
      </c>
      <c r="C574" t="s">
        <v>74</v>
      </c>
      <c r="D574" t="s">
        <v>74</v>
      </c>
      <c r="E574" t="s">
        <v>74</v>
      </c>
      <c r="F574" t="s">
        <v>7648</v>
      </c>
      <c r="G574" t="s">
        <v>74</v>
      </c>
      <c r="H574" t="s">
        <v>74</v>
      </c>
      <c r="I574" t="s">
        <v>7649</v>
      </c>
      <c r="J574" t="s">
        <v>579</v>
      </c>
      <c r="K574" t="s">
        <v>74</v>
      </c>
      <c r="L574" t="s">
        <v>74</v>
      </c>
      <c r="M574" t="s">
        <v>77</v>
      </c>
      <c r="N574" t="s">
        <v>78</v>
      </c>
      <c r="O574" t="s">
        <v>74</v>
      </c>
      <c r="P574" t="s">
        <v>74</v>
      </c>
      <c r="Q574" t="s">
        <v>74</v>
      </c>
      <c r="R574" t="s">
        <v>74</v>
      </c>
      <c r="S574" t="s">
        <v>74</v>
      </c>
      <c r="T574" t="s">
        <v>74</v>
      </c>
      <c r="U574" t="s">
        <v>7650</v>
      </c>
      <c r="V574" t="s">
        <v>7651</v>
      </c>
      <c r="W574" t="s">
        <v>7652</v>
      </c>
      <c r="X574" t="s">
        <v>7653</v>
      </c>
      <c r="Y574" t="s">
        <v>7654</v>
      </c>
      <c r="Z574" t="s">
        <v>74</v>
      </c>
      <c r="AA574" t="s">
        <v>7655</v>
      </c>
      <c r="AB574" t="s">
        <v>7656</v>
      </c>
      <c r="AC574" t="s">
        <v>74</v>
      </c>
      <c r="AD574" t="s">
        <v>74</v>
      </c>
      <c r="AE574" t="s">
        <v>74</v>
      </c>
      <c r="AF574" t="s">
        <v>74</v>
      </c>
      <c r="AG574">
        <v>57</v>
      </c>
      <c r="AH574">
        <v>124</v>
      </c>
      <c r="AI574">
        <v>130</v>
      </c>
      <c r="AJ574">
        <v>1</v>
      </c>
      <c r="AK574">
        <v>27</v>
      </c>
      <c r="AL574" t="s">
        <v>588</v>
      </c>
      <c r="AM574" t="s">
        <v>589</v>
      </c>
      <c r="AN574" t="s">
        <v>590</v>
      </c>
      <c r="AO574" t="s">
        <v>591</v>
      </c>
      <c r="AP574" t="s">
        <v>74</v>
      </c>
      <c r="AQ574" t="s">
        <v>74</v>
      </c>
      <c r="AR574" t="s">
        <v>593</v>
      </c>
      <c r="AS574" t="s">
        <v>594</v>
      </c>
      <c r="AT574" t="s">
        <v>7623</v>
      </c>
      <c r="AU574">
        <v>1999</v>
      </c>
      <c r="AV574">
        <v>31</v>
      </c>
      <c r="AW574">
        <v>2</v>
      </c>
      <c r="AX574" t="s">
        <v>74</v>
      </c>
      <c r="AY574" t="s">
        <v>74</v>
      </c>
      <c r="AZ574" t="s">
        <v>74</v>
      </c>
      <c r="BA574" t="s">
        <v>74</v>
      </c>
      <c r="BB574">
        <v>135</v>
      </c>
      <c r="BC574">
        <v>150</v>
      </c>
      <c r="BD574" t="s">
        <v>74</v>
      </c>
      <c r="BE574" t="s">
        <v>7657</v>
      </c>
      <c r="BF574" t="str">
        <f>HYPERLINK("http://dx.doi.org/10.2307/1552602","http://dx.doi.org/10.2307/1552602")</f>
        <v>http://dx.doi.org/10.2307/1552602</v>
      </c>
      <c r="BG574" t="s">
        <v>74</v>
      </c>
      <c r="BH574" t="s">
        <v>74</v>
      </c>
      <c r="BI574">
        <v>16</v>
      </c>
      <c r="BJ574" t="s">
        <v>596</v>
      </c>
      <c r="BK574" t="s">
        <v>96</v>
      </c>
      <c r="BL574" t="s">
        <v>597</v>
      </c>
      <c r="BM574" t="s">
        <v>7638</v>
      </c>
      <c r="BN574" t="s">
        <v>74</v>
      </c>
      <c r="BO574" t="s">
        <v>74</v>
      </c>
      <c r="BP574" t="s">
        <v>74</v>
      </c>
      <c r="BQ574" t="s">
        <v>74</v>
      </c>
      <c r="BR574" t="s">
        <v>99</v>
      </c>
      <c r="BS574" t="s">
        <v>7658</v>
      </c>
      <c r="BT574" t="str">
        <f>HYPERLINK("https%3A%2F%2Fwww.webofscience.com%2Fwos%2Fwoscc%2Ffull-record%2FWOS:000081160900003","View Full Record in Web of Science")</f>
        <v>View Full Record in Web of Science</v>
      </c>
    </row>
    <row r="575" spans="1:72" x14ac:dyDescent="0.15">
      <c r="A575" t="s">
        <v>72</v>
      </c>
      <c r="B575" t="s">
        <v>7659</v>
      </c>
      <c r="C575" t="s">
        <v>74</v>
      </c>
      <c r="D575" t="s">
        <v>74</v>
      </c>
      <c r="E575" t="s">
        <v>74</v>
      </c>
      <c r="F575" t="s">
        <v>7659</v>
      </c>
      <c r="G575" t="s">
        <v>74</v>
      </c>
      <c r="H575" t="s">
        <v>74</v>
      </c>
      <c r="I575" t="s">
        <v>7660</v>
      </c>
      <c r="J575" t="s">
        <v>579</v>
      </c>
      <c r="K575" t="s">
        <v>74</v>
      </c>
      <c r="L575" t="s">
        <v>74</v>
      </c>
      <c r="M575" t="s">
        <v>77</v>
      </c>
      <c r="N575" t="s">
        <v>78</v>
      </c>
      <c r="O575" t="s">
        <v>74</v>
      </c>
      <c r="P575" t="s">
        <v>74</v>
      </c>
      <c r="Q575" t="s">
        <v>74</v>
      </c>
      <c r="R575" t="s">
        <v>74</v>
      </c>
      <c r="S575" t="s">
        <v>74</v>
      </c>
      <c r="T575" t="s">
        <v>74</v>
      </c>
      <c r="U575" t="s">
        <v>7661</v>
      </c>
      <c r="V575" t="s">
        <v>7662</v>
      </c>
      <c r="W575" t="s">
        <v>7663</v>
      </c>
      <c r="X575" t="s">
        <v>7664</v>
      </c>
      <c r="Y575" t="s">
        <v>7665</v>
      </c>
      <c r="Z575" t="s">
        <v>74</v>
      </c>
      <c r="AA575" t="s">
        <v>74</v>
      </c>
      <c r="AB575" t="s">
        <v>7666</v>
      </c>
      <c r="AC575" t="s">
        <v>74</v>
      </c>
      <c r="AD575" t="s">
        <v>74</v>
      </c>
      <c r="AE575" t="s">
        <v>74</v>
      </c>
      <c r="AF575" t="s">
        <v>74</v>
      </c>
      <c r="AG575">
        <v>52</v>
      </c>
      <c r="AH575">
        <v>46</v>
      </c>
      <c r="AI575">
        <v>53</v>
      </c>
      <c r="AJ575">
        <v>2</v>
      </c>
      <c r="AK575">
        <v>19</v>
      </c>
      <c r="AL575" t="s">
        <v>588</v>
      </c>
      <c r="AM575" t="s">
        <v>589</v>
      </c>
      <c r="AN575" t="s">
        <v>590</v>
      </c>
      <c r="AO575" t="s">
        <v>591</v>
      </c>
      <c r="AP575" t="s">
        <v>74</v>
      </c>
      <c r="AQ575" t="s">
        <v>74</v>
      </c>
      <c r="AR575" t="s">
        <v>593</v>
      </c>
      <c r="AS575" t="s">
        <v>594</v>
      </c>
      <c r="AT575" t="s">
        <v>7623</v>
      </c>
      <c r="AU575">
        <v>1999</v>
      </c>
      <c r="AV575">
        <v>31</v>
      </c>
      <c r="AW575">
        <v>2</v>
      </c>
      <c r="AX575" t="s">
        <v>74</v>
      </c>
      <c r="AY575" t="s">
        <v>74</v>
      </c>
      <c r="AZ575" t="s">
        <v>74</v>
      </c>
      <c r="BA575" t="s">
        <v>74</v>
      </c>
      <c r="BB575">
        <v>151</v>
      </c>
      <c r="BC575">
        <v>164</v>
      </c>
      <c r="BD575" t="s">
        <v>74</v>
      </c>
      <c r="BE575" t="s">
        <v>7667</v>
      </c>
      <c r="BF575" t="str">
        <f>HYPERLINK("http://dx.doi.org/10.2307/1552603","http://dx.doi.org/10.2307/1552603")</f>
        <v>http://dx.doi.org/10.2307/1552603</v>
      </c>
      <c r="BG575" t="s">
        <v>74</v>
      </c>
      <c r="BH575" t="s">
        <v>74</v>
      </c>
      <c r="BI575">
        <v>14</v>
      </c>
      <c r="BJ575" t="s">
        <v>596</v>
      </c>
      <c r="BK575" t="s">
        <v>96</v>
      </c>
      <c r="BL575" t="s">
        <v>597</v>
      </c>
      <c r="BM575" t="s">
        <v>7638</v>
      </c>
      <c r="BN575" t="s">
        <v>74</v>
      </c>
      <c r="BO575" t="s">
        <v>74</v>
      </c>
      <c r="BP575" t="s">
        <v>74</v>
      </c>
      <c r="BQ575" t="s">
        <v>74</v>
      </c>
      <c r="BR575" t="s">
        <v>99</v>
      </c>
      <c r="BS575" t="s">
        <v>7668</v>
      </c>
      <c r="BT575" t="str">
        <f>HYPERLINK("https%3A%2F%2Fwww.webofscience.com%2Fwos%2Fwoscc%2Ffull-record%2FWOS:000081160900004","View Full Record in Web of Science")</f>
        <v>View Full Record in Web of Science</v>
      </c>
    </row>
    <row r="576" spans="1:72" x14ac:dyDescent="0.15">
      <c r="A576" t="s">
        <v>72</v>
      </c>
      <c r="B576" t="s">
        <v>7669</v>
      </c>
      <c r="C576" t="s">
        <v>74</v>
      </c>
      <c r="D576" t="s">
        <v>74</v>
      </c>
      <c r="E576" t="s">
        <v>74</v>
      </c>
      <c r="F576" t="s">
        <v>7669</v>
      </c>
      <c r="G576" t="s">
        <v>74</v>
      </c>
      <c r="H576" t="s">
        <v>74</v>
      </c>
      <c r="I576" t="s">
        <v>7670</v>
      </c>
      <c r="J576" t="s">
        <v>579</v>
      </c>
      <c r="K576" t="s">
        <v>74</v>
      </c>
      <c r="L576" t="s">
        <v>74</v>
      </c>
      <c r="M576" t="s">
        <v>77</v>
      </c>
      <c r="N576" t="s">
        <v>78</v>
      </c>
      <c r="O576" t="s">
        <v>74</v>
      </c>
      <c r="P576" t="s">
        <v>74</v>
      </c>
      <c r="Q576" t="s">
        <v>74</v>
      </c>
      <c r="R576" t="s">
        <v>74</v>
      </c>
      <c r="S576" t="s">
        <v>74</v>
      </c>
      <c r="T576" t="s">
        <v>74</v>
      </c>
      <c r="U576" t="s">
        <v>7671</v>
      </c>
      <c r="V576" t="s">
        <v>7672</v>
      </c>
      <c r="W576" t="s">
        <v>7673</v>
      </c>
      <c r="X576" t="s">
        <v>7674</v>
      </c>
      <c r="Y576" t="s">
        <v>7675</v>
      </c>
      <c r="Z576" t="s">
        <v>7676</v>
      </c>
      <c r="AA576" t="s">
        <v>74</v>
      </c>
      <c r="AB576" t="s">
        <v>74</v>
      </c>
      <c r="AC576" t="s">
        <v>74</v>
      </c>
      <c r="AD576" t="s">
        <v>74</v>
      </c>
      <c r="AE576" t="s">
        <v>74</v>
      </c>
      <c r="AF576" t="s">
        <v>74</v>
      </c>
      <c r="AG576">
        <v>57</v>
      </c>
      <c r="AH576">
        <v>68</v>
      </c>
      <c r="AI576">
        <v>77</v>
      </c>
      <c r="AJ576">
        <v>0</v>
      </c>
      <c r="AK576">
        <v>13</v>
      </c>
      <c r="AL576" t="s">
        <v>588</v>
      </c>
      <c r="AM576" t="s">
        <v>589</v>
      </c>
      <c r="AN576" t="s">
        <v>590</v>
      </c>
      <c r="AO576" t="s">
        <v>591</v>
      </c>
      <c r="AP576" t="s">
        <v>592</v>
      </c>
      <c r="AQ576" t="s">
        <v>74</v>
      </c>
      <c r="AR576" t="s">
        <v>593</v>
      </c>
      <c r="AS576" t="s">
        <v>594</v>
      </c>
      <c r="AT576" t="s">
        <v>7623</v>
      </c>
      <c r="AU576">
        <v>1999</v>
      </c>
      <c r="AV576">
        <v>31</v>
      </c>
      <c r="AW576">
        <v>2</v>
      </c>
      <c r="AX576" t="s">
        <v>74</v>
      </c>
      <c r="AY576" t="s">
        <v>74</v>
      </c>
      <c r="AZ576" t="s">
        <v>74</v>
      </c>
      <c r="BA576" t="s">
        <v>74</v>
      </c>
      <c r="BB576">
        <v>165</v>
      </c>
      <c r="BC576">
        <v>173</v>
      </c>
      <c r="BD576" t="s">
        <v>74</v>
      </c>
      <c r="BE576" t="s">
        <v>7677</v>
      </c>
      <c r="BF576" t="str">
        <f>HYPERLINK("http://dx.doi.org/10.2307/1552604","http://dx.doi.org/10.2307/1552604")</f>
        <v>http://dx.doi.org/10.2307/1552604</v>
      </c>
      <c r="BG576" t="s">
        <v>74</v>
      </c>
      <c r="BH576" t="s">
        <v>74</v>
      </c>
      <c r="BI576">
        <v>9</v>
      </c>
      <c r="BJ576" t="s">
        <v>596</v>
      </c>
      <c r="BK576" t="s">
        <v>96</v>
      </c>
      <c r="BL576" t="s">
        <v>597</v>
      </c>
      <c r="BM576" t="s">
        <v>7638</v>
      </c>
      <c r="BN576" t="s">
        <v>74</v>
      </c>
      <c r="BO576" t="s">
        <v>74</v>
      </c>
      <c r="BP576" t="s">
        <v>74</v>
      </c>
      <c r="BQ576" t="s">
        <v>74</v>
      </c>
      <c r="BR576" t="s">
        <v>99</v>
      </c>
      <c r="BS576" t="s">
        <v>7678</v>
      </c>
      <c r="BT576" t="str">
        <f>HYPERLINK("https%3A%2F%2Fwww.webofscience.com%2Fwos%2Fwoscc%2Ffull-record%2FWOS:000081160900005","View Full Record in Web of Science")</f>
        <v>View Full Record in Web of Science</v>
      </c>
    </row>
    <row r="577" spans="1:72" x14ac:dyDescent="0.15">
      <c r="A577" t="s">
        <v>72</v>
      </c>
      <c r="B577" t="s">
        <v>7679</v>
      </c>
      <c r="C577" t="s">
        <v>74</v>
      </c>
      <c r="D577" t="s">
        <v>74</v>
      </c>
      <c r="E577" t="s">
        <v>74</v>
      </c>
      <c r="F577" t="s">
        <v>7679</v>
      </c>
      <c r="G577" t="s">
        <v>74</v>
      </c>
      <c r="H577" t="s">
        <v>74</v>
      </c>
      <c r="I577" t="s">
        <v>7680</v>
      </c>
      <c r="J577" t="s">
        <v>579</v>
      </c>
      <c r="K577" t="s">
        <v>74</v>
      </c>
      <c r="L577" t="s">
        <v>74</v>
      </c>
      <c r="M577" t="s">
        <v>77</v>
      </c>
      <c r="N577" t="s">
        <v>78</v>
      </c>
      <c r="O577" t="s">
        <v>74</v>
      </c>
      <c r="P577" t="s">
        <v>74</v>
      </c>
      <c r="Q577" t="s">
        <v>74</v>
      </c>
      <c r="R577" t="s">
        <v>74</v>
      </c>
      <c r="S577" t="s">
        <v>74</v>
      </c>
      <c r="T577" t="s">
        <v>74</v>
      </c>
      <c r="U577" t="s">
        <v>7681</v>
      </c>
      <c r="V577" t="s">
        <v>7682</v>
      </c>
      <c r="W577" t="s">
        <v>2854</v>
      </c>
      <c r="X577" t="s">
        <v>2855</v>
      </c>
      <c r="Y577" t="s">
        <v>7683</v>
      </c>
      <c r="Z577" t="s">
        <v>74</v>
      </c>
      <c r="AA577" t="s">
        <v>2188</v>
      </c>
      <c r="AB577" t="s">
        <v>74</v>
      </c>
      <c r="AC577" t="s">
        <v>74</v>
      </c>
      <c r="AD577" t="s">
        <v>74</v>
      </c>
      <c r="AE577" t="s">
        <v>74</v>
      </c>
      <c r="AF577" t="s">
        <v>74</v>
      </c>
      <c r="AG577">
        <v>33</v>
      </c>
      <c r="AH577">
        <v>41</v>
      </c>
      <c r="AI577">
        <v>43</v>
      </c>
      <c r="AJ577">
        <v>0</v>
      </c>
      <c r="AK577">
        <v>6</v>
      </c>
      <c r="AL577" t="s">
        <v>588</v>
      </c>
      <c r="AM577" t="s">
        <v>589</v>
      </c>
      <c r="AN577" t="s">
        <v>590</v>
      </c>
      <c r="AO577" t="s">
        <v>591</v>
      </c>
      <c r="AP577" t="s">
        <v>74</v>
      </c>
      <c r="AQ577" t="s">
        <v>74</v>
      </c>
      <c r="AR577" t="s">
        <v>593</v>
      </c>
      <c r="AS577" t="s">
        <v>594</v>
      </c>
      <c r="AT577" t="s">
        <v>7623</v>
      </c>
      <c r="AU577">
        <v>1999</v>
      </c>
      <c r="AV577">
        <v>31</v>
      </c>
      <c r="AW577">
        <v>2</v>
      </c>
      <c r="AX577" t="s">
        <v>74</v>
      </c>
      <c r="AY577" t="s">
        <v>74</v>
      </c>
      <c r="AZ577" t="s">
        <v>74</v>
      </c>
      <c r="BA577" t="s">
        <v>74</v>
      </c>
      <c r="BB577">
        <v>174</v>
      </c>
      <c r="BC577">
        <v>178</v>
      </c>
      <c r="BD577" t="s">
        <v>74</v>
      </c>
      <c r="BE577" t="s">
        <v>7684</v>
      </c>
      <c r="BF577" t="str">
        <f>HYPERLINK("http://dx.doi.org/10.2307/1552605","http://dx.doi.org/10.2307/1552605")</f>
        <v>http://dx.doi.org/10.2307/1552605</v>
      </c>
      <c r="BG577" t="s">
        <v>74</v>
      </c>
      <c r="BH577" t="s">
        <v>74</v>
      </c>
      <c r="BI577">
        <v>5</v>
      </c>
      <c r="BJ577" t="s">
        <v>596</v>
      </c>
      <c r="BK577" t="s">
        <v>96</v>
      </c>
      <c r="BL577" t="s">
        <v>597</v>
      </c>
      <c r="BM577" t="s">
        <v>7638</v>
      </c>
      <c r="BN577" t="s">
        <v>74</v>
      </c>
      <c r="BO577" t="s">
        <v>74</v>
      </c>
      <c r="BP577" t="s">
        <v>74</v>
      </c>
      <c r="BQ577" t="s">
        <v>74</v>
      </c>
      <c r="BR577" t="s">
        <v>99</v>
      </c>
      <c r="BS577" t="s">
        <v>7685</v>
      </c>
      <c r="BT577" t="str">
        <f>HYPERLINK("https%3A%2F%2Fwww.webofscience.com%2Fwos%2Fwoscc%2Ffull-record%2FWOS:000081160900006","View Full Record in Web of Science")</f>
        <v>View Full Record in Web of Science</v>
      </c>
    </row>
    <row r="578" spans="1:72" x14ac:dyDescent="0.15">
      <c r="A578" t="s">
        <v>72</v>
      </c>
      <c r="B578" t="s">
        <v>7686</v>
      </c>
      <c r="C578" t="s">
        <v>74</v>
      </c>
      <c r="D578" t="s">
        <v>74</v>
      </c>
      <c r="E578" t="s">
        <v>74</v>
      </c>
      <c r="F578" t="s">
        <v>7686</v>
      </c>
      <c r="G578" t="s">
        <v>74</v>
      </c>
      <c r="H578" t="s">
        <v>74</v>
      </c>
      <c r="I578" t="s">
        <v>7687</v>
      </c>
      <c r="J578" t="s">
        <v>579</v>
      </c>
      <c r="K578" t="s">
        <v>74</v>
      </c>
      <c r="L578" t="s">
        <v>74</v>
      </c>
      <c r="M578" t="s">
        <v>77</v>
      </c>
      <c r="N578" t="s">
        <v>78</v>
      </c>
      <c r="O578" t="s">
        <v>74</v>
      </c>
      <c r="P578" t="s">
        <v>74</v>
      </c>
      <c r="Q578" t="s">
        <v>74</v>
      </c>
      <c r="R578" t="s">
        <v>74</v>
      </c>
      <c r="S578" t="s">
        <v>74</v>
      </c>
      <c r="T578" t="s">
        <v>74</v>
      </c>
      <c r="U578" t="s">
        <v>7688</v>
      </c>
      <c r="V578" t="s">
        <v>7689</v>
      </c>
      <c r="W578" t="s">
        <v>7690</v>
      </c>
      <c r="X578" t="s">
        <v>7691</v>
      </c>
      <c r="Y578" t="s">
        <v>7692</v>
      </c>
      <c r="Z578" t="s">
        <v>7693</v>
      </c>
      <c r="AA578" t="s">
        <v>74</v>
      </c>
      <c r="AB578" t="s">
        <v>7694</v>
      </c>
      <c r="AC578" t="s">
        <v>74</v>
      </c>
      <c r="AD578" t="s">
        <v>74</v>
      </c>
      <c r="AE578" t="s">
        <v>74</v>
      </c>
      <c r="AF578" t="s">
        <v>74</v>
      </c>
      <c r="AG578">
        <v>49</v>
      </c>
      <c r="AH578">
        <v>51</v>
      </c>
      <c r="AI578">
        <v>61</v>
      </c>
      <c r="AJ578">
        <v>0</v>
      </c>
      <c r="AK578">
        <v>7</v>
      </c>
      <c r="AL578" t="s">
        <v>588</v>
      </c>
      <c r="AM578" t="s">
        <v>589</v>
      </c>
      <c r="AN578" t="s">
        <v>590</v>
      </c>
      <c r="AO578" t="s">
        <v>591</v>
      </c>
      <c r="AP578" t="s">
        <v>74</v>
      </c>
      <c r="AQ578" t="s">
        <v>74</v>
      </c>
      <c r="AR578" t="s">
        <v>593</v>
      </c>
      <c r="AS578" t="s">
        <v>594</v>
      </c>
      <c r="AT578" t="s">
        <v>7623</v>
      </c>
      <c r="AU578">
        <v>1999</v>
      </c>
      <c r="AV578">
        <v>31</v>
      </c>
      <c r="AW578">
        <v>2</v>
      </c>
      <c r="AX578" t="s">
        <v>74</v>
      </c>
      <c r="AY578" t="s">
        <v>74</v>
      </c>
      <c r="AZ578" t="s">
        <v>74</v>
      </c>
      <c r="BA578" t="s">
        <v>74</v>
      </c>
      <c r="BB578">
        <v>179</v>
      </c>
      <c r="BC578">
        <v>186</v>
      </c>
      <c r="BD578" t="s">
        <v>74</v>
      </c>
      <c r="BE578" t="s">
        <v>7695</v>
      </c>
      <c r="BF578" t="str">
        <f>HYPERLINK("http://dx.doi.org/10.2307/1552606","http://dx.doi.org/10.2307/1552606")</f>
        <v>http://dx.doi.org/10.2307/1552606</v>
      </c>
      <c r="BG578" t="s">
        <v>74</v>
      </c>
      <c r="BH578" t="s">
        <v>74</v>
      </c>
      <c r="BI578">
        <v>8</v>
      </c>
      <c r="BJ578" t="s">
        <v>596</v>
      </c>
      <c r="BK578" t="s">
        <v>96</v>
      </c>
      <c r="BL578" t="s">
        <v>597</v>
      </c>
      <c r="BM578" t="s">
        <v>7638</v>
      </c>
      <c r="BN578" t="s">
        <v>74</v>
      </c>
      <c r="BO578" t="s">
        <v>74</v>
      </c>
      <c r="BP578" t="s">
        <v>74</v>
      </c>
      <c r="BQ578" t="s">
        <v>74</v>
      </c>
      <c r="BR578" t="s">
        <v>99</v>
      </c>
      <c r="BS578" t="s">
        <v>7696</v>
      </c>
      <c r="BT578" t="str">
        <f>HYPERLINK("https%3A%2F%2Fwww.webofscience.com%2Fwos%2Fwoscc%2Ffull-record%2FWOS:000081160900007","View Full Record in Web of Science")</f>
        <v>View Full Record in Web of Science</v>
      </c>
    </row>
    <row r="579" spans="1:72" x14ac:dyDescent="0.15">
      <c r="A579" t="s">
        <v>72</v>
      </c>
      <c r="B579" t="s">
        <v>7697</v>
      </c>
      <c r="C579" t="s">
        <v>74</v>
      </c>
      <c r="D579" t="s">
        <v>74</v>
      </c>
      <c r="E579" t="s">
        <v>74</v>
      </c>
      <c r="F579" t="s">
        <v>7697</v>
      </c>
      <c r="G579" t="s">
        <v>74</v>
      </c>
      <c r="H579" t="s">
        <v>74</v>
      </c>
      <c r="I579" t="s">
        <v>7698</v>
      </c>
      <c r="J579" t="s">
        <v>579</v>
      </c>
      <c r="K579" t="s">
        <v>74</v>
      </c>
      <c r="L579" t="s">
        <v>74</v>
      </c>
      <c r="M579" t="s">
        <v>77</v>
      </c>
      <c r="N579" t="s">
        <v>78</v>
      </c>
      <c r="O579" t="s">
        <v>74</v>
      </c>
      <c r="P579" t="s">
        <v>74</v>
      </c>
      <c r="Q579" t="s">
        <v>74</v>
      </c>
      <c r="R579" t="s">
        <v>74</v>
      </c>
      <c r="S579" t="s">
        <v>74</v>
      </c>
      <c r="T579" t="s">
        <v>74</v>
      </c>
      <c r="U579" t="s">
        <v>7699</v>
      </c>
      <c r="V579" t="s">
        <v>7700</v>
      </c>
      <c r="W579" t="s">
        <v>7701</v>
      </c>
      <c r="X579" t="s">
        <v>7702</v>
      </c>
      <c r="Y579" t="s">
        <v>7703</v>
      </c>
      <c r="Z579" t="s">
        <v>74</v>
      </c>
      <c r="AA579" t="s">
        <v>4240</v>
      </c>
      <c r="AB579" t="s">
        <v>74</v>
      </c>
      <c r="AC579" t="s">
        <v>74</v>
      </c>
      <c r="AD579" t="s">
        <v>74</v>
      </c>
      <c r="AE579" t="s">
        <v>74</v>
      </c>
      <c r="AF579" t="s">
        <v>74</v>
      </c>
      <c r="AG579">
        <v>26</v>
      </c>
      <c r="AH579">
        <v>55</v>
      </c>
      <c r="AI579">
        <v>60</v>
      </c>
      <c r="AJ579">
        <v>0</v>
      </c>
      <c r="AK579">
        <v>20</v>
      </c>
      <c r="AL579" t="s">
        <v>588</v>
      </c>
      <c r="AM579" t="s">
        <v>589</v>
      </c>
      <c r="AN579" t="s">
        <v>590</v>
      </c>
      <c r="AO579" t="s">
        <v>591</v>
      </c>
      <c r="AP579" t="s">
        <v>74</v>
      </c>
      <c r="AQ579" t="s">
        <v>74</v>
      </c>
      <c r="AR579" t="s">
        <v>593</v>
      </c>
      <c r="AS579" t="s">
        <v>594</v>
      </c>
      <c r="AT579" t="s">
        <v>7623</v>
      </c>
      <c r="AU579">
        <v>1999</v>
      </c>
      <c r="AV579">
        <v>31</v>
      </c>
      <c r="AW579">
        <v>2</v>
      </c>
      <c r="AX579" t="s">
        <v>74</v>
      </c>
      <c r="AY579" t="s">
        <v>74</v>
      </c>
      <c r="AZ579" t="s">
        <v>74</v>
      </c>
      <c r="BA579" t="s">
        <v>74</v>
      </c>
      <c r="BB579">
        <v>187</v>
      </c>
      <c r="BC579">
        <v>190</v>
      </c>
      <c r="BD579" t="s">
        <v>74</v>
      </c>
      <c r="BE579" t="s">
        <v>7704</v>
      </c>
      <c r="BF579" t="str">
        <f>HYPERLINK("http://dx.doi.org/10.2307/1552607","http://dx.doi.org/10.2307/1552607")</f>
        <v>http://dx.doi.org/10.2307/1552607</v>
      </c>
      <c r="BG579" t="s">
        <v>74</v>
      </c>
      <c r="BH579" t="s">
        <v>74</v>
      </c>
      <c r="BI579">
        <v>4</v>
      </c>
      <c r="BJ579" t="s">
        <v>596</v>
      </c>
      <c r="BK579" t="s">
        <v>96</v>
      </c>
      <c r="BL579" t="s">
        <v>597</v>
      </c>
      <c r="BM579" t="s">
        <v>7638</v>
      </c>
      <c r="BN579" t="s">
        <v>74</v>
      </c>
      <c r="BO579" t="s">
        <v>74</v>
      </c>
      <c r="BP579" t="s">
        <v>74</v>
      </c>
      <c r="BQ579" t="s">
        <v>74</v>
      </c>
      <c r="BR579" t="s">
        <v>99</v>
      </c>
      <c r="BS579" t="s">
        <v>7705</v>
      </c>
      <c r="BT579" t="str">
        <f>HYPERLINK("https%3A%2F%2Fwww.webofscience.com%2Fwos%2Fwoscc%2Ffull-record%2FWOS:000081160900008","View Full Record in Web of Science")</f>
        <v>View Full Record in Web of Science</v>
      </c>
    </row>
    <row r="580" spans="1:72" x14ac:dyDescent="0.15">
      <c r="A580" t="s">
        <v>72</v>
      </c>
      <c r="B580" t="s">
        <v>7706</v>
      </c>
      <c r="C580" t="s">
        <v>74</v>
      </c>
      <c r="D580" t="s">
        <v>74</v>
      </c>
      <c r="E580" t="s">
        <v>74</v>
      </c>
      <c r="F580" t="s">
        <v>7706</v>
      </c>
      <c r="G580" t="s">
        <v>74</v>
      </c>
      <c r="H580" t="s">
        <v>74</v>
      </c>
      <c r="I580" t="s">
        <v>7707</v>
      </c>
      <c r="J580" t="s">
        <v>579</v>
      </c>
      <c r="K580" t="s">
        <v>74</v>
      </c>
      <c r="L580" t="s">
        <v>74</v>
      </c>
      <c r="M580" t="s">
        <v>77</v>
      </c>
      <c r="N580" t="s">
        <v>78</v>
      </c>
      <c r="O580" t="s">
        <v>74</v>
      </c>
      <c r="P580" t="s">
        <v>74</v>
      </c>
      <c r="Q580" t="s">
        <v>74</v>
      </c>
      <c r="R580" t="s">
        <v>74</v>
      </c>
      <c r="S580" t="s">
        <v>74</v>
      </c>
      <c r="T580" t="s">
        <v>74</v>
      </c>
      <c r="U580" t="s">
        <v>7708</v>
      </c>
      <c r="V580" t="s">
        <v>7709</v>
      </c>
      <c r="W580" t="s">
        <v>7710</v>
      </c>
      <c r="X580" t="s">
        <v>7711</v>
      </c>
      <c r="Y580" t="s">
        <v>7712</v>
      </c>
      <c r="Z580" t="s">
        <v>7713</v>
      </c>
      <c r="AA580" t="s">
        <v>74</v>
      </c>
      <c r="AB580" t="s">
        <v>74</v>
      </c>
      <c r="AC580" t="s">
        <v>74</v>
      </c>
      <c r="AD580" t="s">
        <v>74</v>
      </c>
      <c r="AE580" t="s">
        <v>74</v>
      </c>
      <c r="AF580" t="s">
        <v>74</v>
      </c>
      <c r="AG580">
        <v>20</v>
      </c>
      <c r="AH580">
        <v>13</v>
      </c>
      <c r="AI580">
        <v>15</v>
      </c>
      <c r="AJ580">
        <v>1</v>
      </c>
      <c r="AK580">
        <v>19</v>
      </c>
      <c r="AL580" t="s">
        <v>588</v>
      </c>
      <c r="AM580" t="s">
        <v>589</v>
      </c>
      <c r="AN580" t="s">
        <v>590</v>
      </c>
      <c r="AO580" t="s">
        <v>591</v>
      </c>
      <c r="AP580" t="s">
        <v>74</v>
      </c>
      <c r="AQ580" t="s">
        <v>74</v>
      </c>
      <c r="AR580" t="s">
        <v>593</v>
      </c>
      <c r="AS580" t="s">
        <v>594</v>
      </c>
      <c r="AT580" t="s">
        <v>7623</v>
      </c>
      <c r="AU580">
        <v>1999</v>
      </c>
      <c r="AV580">
        <v>31</v>
      </c>
      <c r="AW580">
        <v>2</v>
      </c>
      <c r="AX580" t="s">
        <v>74</v>
      </c>
      <c r="AY580" t="s">
        <v>74</v>
      </c>
      <c r="AZ580" t="s">
        <v>74</v>
      </c>
      <c r="BA580" t="s">
        <v>74</v>
      </c>
      <c r="BB580">
        <v>191</v>
      </c>
      <c r="BC580">
        <v>195</v>
      </c>
      <c r="BD580" t="s">
        <v>74</v>
      </c>
      <c r="BE580" t="s">
        <v>7714</v>
      </c>
      <c r="BF580" t="str">
        <f>HYPERLINK("http://dx.doi.org/10.2307/1552608","http://dx.doi.org/10.2307/1552608")</f>
        <v>http://dx.doi.org/10.2307/1552608</v>
      </c>
      <c r="BG580" t="s">
        <v>74</v>
      </c>
      <c r="BH580" t="s">
        <v>74</v>
      </c>
      <c r="BI580">
        <v>5</v>
      </c>
      <c r="BJ580" t="s">
        <v>596</v>
      </c>
      <c r="BK580" t="s">
        <v>96</v>
      </c>
      <c r="BL580" t="s">
        <v>597</v>
      </c>
      <c r="BM580" t="s">
        <v>7638</v>
      </c>
      <c r="BN580" t="s">
        <v>74</v>
      </c>
      <c r="BO580" t="s">
        <v>74</v>
      </c>
      <c r="BP580" t="s">
        <v>74</v>
      </c>
      <c r="BQ580" t="s">
        <v>74</v>
      </c>
      <c r="BR580" t="s">
        <v>99</v>
      </c>
      <c r="BS580" t="s">
        <v>7715</v>
      </c>
      <c r="BT580" t="str">
        <f>HYPERLINK("https%3A%2F%2Fwww.webofscience.com%2Fwos%2Fwoscc%2Ffull-record%2FWOS:000081160900009","View Full Record in Web of Science")</f>
        <v>View Full Record in Web of Science</v>
      </c>
    </row>
    <row r="581" spans="1:72" x14ac:dyDescent="0.15">
      <c r="A581" t="s">
        <v>72</v>
      </c>
      <c r="B581" t="s">
        <v>7716</v>
      </c>
      <c r="C581" t="s">
        <v>74</v>
      </c>
      <c r="D581" t="s">
        <v>74</v>
      </c>
      <c r="E581" t="s">
        <v>74</v>
      </c>
      <c r="F581" t="s">
        <v>7716</v>
      </c>
      <c r="G581" t="s">
        <v>74</v>
      </c>
      <c r="H581" t="s">
        <v>74</v>
      </c>
      <c r="I581" t="s">
        <v>7717</v>
      </c>
      <c r="J581" t="s">
        <v>579</v>
      </c>
      <c r="K581" t="s">
        <v>74</v>
      </c>
      <c r="L581" t="s">
        <v>74</v>
      </c>
      <c r="M581" t="s">
        <v>77</v>
      </c>
      <c r="N581" t="s">
        <v>78</v>
      </c>
      <c r="O581" t="s">
        <v>74</v>
      </c>
      <c r="P581" t="s">
        <v>74</v>
      </c>
      <c r="Q581" t="s">
        <v>74</v>
      </c>
      <c r="R581" t="s">
        <v>74</v>
      </c>
      <c r="S581" t="s">
        <v>74</v>
      </c>
      <c r="T581" t="s">
        <v>74</v>
      </c>
      <c r="U581" t="s">
        <v>7718</v>
      </c>
      <c r="V581" t="s">
        <v>7719</v>
      </c>
      <c r="W581" t="s">
        <v>7720</v>
      </c>
      <c r="X581" t="s">
        <v>7721</v>
      </c>
      <c r="Y581" t="s">
        <v>7722</v>
      </c>
      <c r="Z581" t="s">
        <v>74</v>
      </c>
      <c r="AA581" t="s">
        <v>4219</v>
      </c>
      <c r="AB581" t="s">
        <v>4220</v>
      </c>
      <c r="AC581" t="s">
        <v>74</v>
      </c>
      <c r="AD581" t="s">
        <v>74</v>
      </c>
      <c r="AE581" t="s">
        <v>74</v>
      </c>
      <c r="AF581" t="s">
        <v>74</v>
      </c>
      <c r="AG581">
        <v>32</v>
      </c>
      <c r="AH581">
        <v>13</v>
      </c>
      <c r="AI581">
        <v>14</v>
      </c>
      <c r="AJ581">
        <v>0</v>
      </c>
      <c r="AK581">
        <v>18</v>
      </c>
      <c r="AL581" t="s">
        <v>588</v>
      </c>
      <c r="AM581" t="s">
        <v>589</v>
      </c>
      <c r="AN581" t="s">
        <v>590</v>
      </c>
      <c r="AO581" t="s">
        <v>591</v>
      </c>
      <c r="AP581" t="s">
        <v>74</v>
      </c>
      <c r="AQ581" t="s">
        <v>74</v>
      </c>
      <c r="AR581" t="s">
        <v>593</v>
      </c>
      <c r="AS581" t="s">
        <v>594</v>
      </c>
      <c r="AT581" t="s">
        <v>7623</v>
      </c>
      <c r="AU581">
        <v>1999</v>
      </c>
      <c r="AV581">
        <v>31</v>
      </c>
      <c r="AW581">
        <v>2</v>
      </c>
      <c r="AX581" t="s">
        <v>74</v>
      </c>
      <c r="AY581" t="s">
        <v>74</v>
      </c>
      <c r="AZ581" t="s">
        <v>74</v>
      </c>
      <c r="BA581" t="s">
        <v>74</v>
      </c>
      <c r="BB581">
        <v>196</v>
      </c>
      <c r="BC581">
        <v>201</v>
      </c>
      <c r="BD581" t="s">
        <v>74</v>
      </c>
      <c r="BE581" t="s">
        <v>7723</v>
      </c>
      <c r="BF581" t="str">
        <f>HYPERLINK("http://dx.doi.org/10.2307/1552609","http://dx.doi.org/10.2307/1552609")</f>
        <v>http://dx.doi.org/10.2307/1552609</v>
      </c>
      <c r="BG581" t="s">
        <v>74</v>
      </c>
      <c r="BH581" t="s">
        <v>74</v>
      </c>
      <c r="BI581">
        <v>6</v>
      </c>
      <c r="BJ581" t="s">
        <v>596</v>
      </c>
      <c r="BK581" t="s">
        <v>96</v>
      </c>
      <c r="BL581" t="s">
        <v>597</v>
      </c>
      <c r="BM581" t="s">
        <v>7638</v>
      </c>
      <c r="BN581" t="s">
        <v>74</v>
      </c>
      <c r="BO581" t="s">
        <v>250</v>
      </c>
      <c r="BP581" t="s">
        <v>74</v>
      </c>
      <c r="BQ581" t="s">
        <v>74</v>
      </c>
      <c r="BR581" t="s">
        <v>99</v>
      </c>
      <c r="BS581" t="s">
        <v>7724</v>
      </c>
      <c r="BT581" t="str">
        <f>HYPERLINK("https%3A%2F%2Fwww.webofscience.com%2Fwos%2Fwoscc%2Ffull-record%2FWOS:000081160900010","View Full Record in Web of Science")</f>
        <v>View Full Record in Web of Science</v>
      </c>
    </row>
    <row r="582" spans="1:72" x14ac:dyDescent="0.15">
      <c r="A582" t="s">
        <v>72</v>
      </c>
      <c r="B582" t="s">
        <v>7725</v>
      </c>
      <c r="C582" t="s">
        <v>74</v>
      </c>
      <c r="D582" t="s">
        <v>74</v>
      </c>
      <c r="E582" t="s">
        <v>74</v>
      </c>
      <c r="F582" t="s">
        <v>7725</v>
      </c>
      <c r="G582" t="s">
        <v>74</v>
      </c>
      <c r="H582" t="s">
        <v>74</v>
      </c>
      <c r="I582" t="s">
        <v>7726</v>
      </c>
      <c r="J582" t="s">
        <v>579</v>
      </c>
      <c r="K582" t="s">
        <v>74</v>
      </c>
      <c r="L582" t="s">
        <v>74</v>
      </c>
      <c r="M582" t="s">
        <v>77</v>
      </c>
      <c r="N582" t="s">
        <v>78</v>
      </c>
      <c r="O582" t="s">
        <v>74</v>
      </c>
      <c r="P582" t="s">
        <v>74</v>
      </c>
      <c r="Q582" t="s">
        <v>74</v>
      </c>
      <c r="R582" t="s">
        <v>74</v>
      </c>
      <c r="S582" t="s">
        <v>74</v>
      </c>
      <c r="T582" t="s">
        <v>74</v>
      </c>
      <c r="U582" t="s">
        <v>74</v>
      </c>
      <c r="V582" t="s">
        <v>7727</v>
      </c>
      <c r="W582" t="s">
        <v>7728</v>
      </c>
      <c r="X582" t="s">
        <v>7729</v>
      </c>
      <c r="Y582" t="s">
        <v>7730</v>
      </c>
      <c r="Z582" t="s">
        <v>74</v>
      </c>
      <c r="AA582" t="s">
        <v>7731</v>
      </c>
      <c r="AB582" t="s">
        <v>7732</v>
      </c>
      <c r="AC582" t="s">
        <v>74</v>
      </c>
      <c r="AD582" t="s">
        <v>74</v>
      </c>
      <c r="AE582" t="s">
        <v>74</v>
      </c>
      <c r="AF582" t="s">
        <v>74</v>
      </c>
      <c r="AG582">
        <v>20</v>
      </c>
      <c r="AH582">
        <v>14</v>
      </c>
      <c r="AI582">
        <v>16</v>
      </c>
      <c r="AJ582">
        <v>0</v>
      </c>
      <c r="AK582">
        <v>6</v>
      </c>
      <c r="AL582" t="s">
        <v>588</v>
      </c>
      <c r="AM582" t="s">
        <v>589</v>
      </c>
      <c r="AN582" t="s">
        <v>590</v>
      </c>
      <c r="AO582" t="s">
        <v>591</v>
      </c>
      <c r="AP582" t="s">
        <v>74</v>
      </c>
      <c r="AQ582" t="s">
        <v>74</v>
      </c>
      <c r="AR582" t="s">
        <v>593</v>
      </c>
      <c r="AS582" t="s">
        <v>594</v>
      </c>
      <c r="AT582" t="s">
        <v>7623</v>
      </c>
      <c r="AU582">
        <v>1999</v>
      </c>
      <c r="AV582">
        <v>31</v>
      </c>
      <c r="AW582">
        <v>2</v>
      </c>
      <c r="AX582" t="s">
        <v>74</v>
      </c>
      <c r="AY582" t="s">
        <v>74</v>
      </c>
      <c r="AZ582" t="s">
        <v>74</v>
      </c>
      <c r="BA582" t="s">
        <v>74</v>
      </c>
      <c r="BB582">
        <v>202</v>
      </c>
      <c r="BC582">
        <v>208</v>
      </c>
      <c r="BD582" t="s">
        <v>74</v>
      </c>
      <c r="BE582" t="s">
        <v>7733</v>
      </c>
      <c r="BF582" t="str">
        <f>HYPERLINK("http://dx.doi.org/10.2307/1552610","http://dx.doi.org/10.2307/1552610")</f>
        <v>http://dx.doi.org/10.2307/1552610</v>
      </c>
      <c r="BG582" t="s">
        <v>74</v>
      </c>
      <c r="BH582" t="s">
        <v>74</v>
      </c>
      <c r="BI582">
        <v>7</v>
      </c>
      <c r="BJ582" t="s">
        <v>596</v>
      </c>
      <c r="BK582" t="s">
        <v>96</v>
      </c>
      <c r="BL582" t="s">
        <v>597</v>
      </c>
      <c r="BM582" t="s">
        <v>7638</v>
      </c>
      <c r="BN582" t="s">
        <v>74</v>
      </c>
      <c r="BO582" t="s">
        <v>250</v>
      </c>
      <c r="BP582" t="s">
        <v>74</v>
      </c>
      <c r="BQ582" t="s">
        <v>74</v>
      </c>
      <c r="BR582" t="s">
        <v>99</v>
      </c>
      <c r="BS582" t="s">
        <v>7734</v>
      </c>
      <c r="BT582" t="str">
        <f>HYPERLINK("https%3A%2F%2Fwww.webofscience.com%2Fwos%2Fwoscc%2Ffull-record%2FWOS:000081160900011","View Full Record in Web of Science")</f>
        <v>View Full Record in Web of Science</v>
      </c>
    </row>
    <row r="583" spans="1:72" x14ac:dyDescent="0.15">
      <c r="A583" t="s">
        <v>72</v>
      </c>
      <c r="B583" t="s">
        <v>7735</v>
      </c>
      <c r="C583" t="s">
        <v>74</v>
      </c>
      <c r="D583" t="s">
        <v>74</v>
      </c>
      <c r="E583" t="s">
        <v>74</v>
      </c>
      <c r="F583" t="s">
        <v>7735</v>
      </c>
      <c r="G583" t="s">
        <v>74</v>
      </c>
      <c r="H583" t="s">
        <v>74</v>
      </c>
      <c r="I583" t="s">
        <v>7736</v>
      </c>
      <c r="J583" t="s">
        <v>7737</v>
      </c>
      <c r="K583" t="s">
        <v>74</v>
      </c>
      <c r="L583" t="s">
        <v>74</v>
      </c>
      <c r="M583" t="s">
        <v>77</v>
      </c>
      <c r="N583" t="s">
        <v>78</v>
      </c>
      <c r="O583" t="s">
        <v>74</v>
      </c>
      <c r="P583" t="s">
        <v>74</v>
      </c>
      <c r="Q583" t="s">
        <v>74</v>
      </c>
      <c r="R583" t="s">
        <v>74</v>
      </c>
      <c r="S583" t="s">
        <v>74</v>
      </c>
      <c r="T583" t="s">
        <v>7738</v>
      </c>
      <c r="U583" t="s">
        <v>7739</v>
      </c>
      <c r="V583" t="s">
        <v>7740</v>
      </c>
      <c r="W583" t="s">
        <v>151</v>
      </c>
      <c r="X583" t="s">
        <v>131</v>
      </c>
      <c r="Y583" t="s">
        <v>7741</v>
      </c>
      <c r="Z583" t="s">
        <v>7742</v>
      </c>
      <c r="AA583" t="s">
        <v>7743</v>
      </c>
      <c r="AB583" t="s">
        <v>7744</v>
      </c>
      <c r="AC583" t="s">
        <v>74</v>
      </c>
      <c r="AD583" t="s">
        <v>74</v>
      </c>
      <c r="AE583" t="s">
        <v>74</v>
      </c>
      <c r="AF583" t="s">
        <v>74</v>
      </c>
      <c r="AG583">
        <v>28</v>
      </c>
      <c r="AH583">
        <v>67</v>
      </c>
      <c r="AI583">
        <v>72</v>
      </c>
      <c r="AJ583">
        <v>0</v>
      </c>
      <c r="AK583">
        <v>22</v>
      </c>
      <c r="AL583" t="s">
        <v>275</v>
      </c>
      <c r="AM583" t="s">
        <v>276</v>
      </c>
      <c r="AN583" t="s">
        <v>277</v>
      </c>
      <c r="AO583" t="s">
        <v>7745</v>
      </c>
      <c r="AP583" t="s">
        <v>74</v>
      </c>
      <c r="AQ583" t="s">
        <v>74</v>
      </c>
      <c r="AR583" t="s">
        <v>7746</v>
      </c>
      <c r="AS583" t="s">
        <v>7747</v>
      </c>
      <c r="AT583" t="s">
        <v>7623</v>
      </c>
      <c r="AU583">
        <v>1999</v>
      </c>
      <c r="AV583">
        <v>33</v>
      </c>
      <c r="AW583">
        <v>10</v>
      </c>
      <c r="AX583" t="s">
        <v>74</v>
      </c>
      <c r="AY583" t="s">
        <v>74</v>
      </c>
      <c r="AZ583" t="s">
        <v>74</v>
      </c>
      <c r="BA583" t="s">
        <v>74</v>
      </c>
      <c r="BB583">
        <v>1535</v>
      </c>
      <c r="BC583">
        <v>1541</v>
      </c>
      <c r="BD583" t="s">
        <v>74</v>
      </c>
      <c r="BE583" t="s">
        <v>7748</v>
      </c>
      <c r="BF583" t="str">
        <f>HYPERLINK("http://dx.doi.org/10.1016/S1352-2310(98)00276-3","http://dx.doi.org/10.1016/S1352-2310(98)00276-3")</f>
        <v>http://dx.doi.org/10.1016/S1352-2310(98)00276-3</v>
      </c>
      <c r="BG583" t="s">
        <v>74</v>
      </c>
      <c r="BH583" t="s">
        <v>74</v>
      </c>
      <c r="BI583">
        <v>7</v>
      </c>
      <c r="BJ583" t="s">
        <v>5561</v>
      </c>
      <c r="BK583" t="s">
        <v>96</v>
      </c>
      <c r="BL583" t="s">
        <v>5562</v>
      </c>
      <c r="BM583" t="s">
        <v>7749</v>
      </c>
      <c r="BN583" t="s">
        <v>74</v>
      </c>
      <c r="BO583" t="s">
        <v>74</v>
      </c>
      <c r="BP583" t="s">
        <v>74</v>
      </c>
      <c r="BQ583" t="s">
        <v>74</v>
      </c>
      <c r="BR583" t="s">
        <v>99</v>
      </c>
      <c r="BS583" t="s">
        <v>7750</v>
      </c>
      <c r="BT583" t="str">
        <f>HYPERLINK("https%3A%2F%2Fwww.webofscience.com%2Fwos%2Fwoscc%2Ffull-record%2FWOS:000078981200005","View Full Record in Web of Science")</f>
        <v>View Full Record in Web of Science</v>
      </c>
    </row>
    <row r="584" spans="1:72" x14ac:dyDescent="0.15">
      <c r="A584" t="s">
        <v>72</v>
      </c>
      <c r="B584" t="s">
        <v>7751</v>
      </c>
      <c r="C584" t="s">
        <v>74</v>
      </c>
      <c r="D584" t="s">
        <v>74</v>
      </c>
      <c r="E584" t="s">
        <v>74</v>
      </c>
      <c r="F584" t="s">
        <v>7751</v>
      </c>
      <c r="G584" t="s">
        <v>74</v>
      </c>
      <c r="H584" t="s">
        <v>74</v>
      </c>
      <c r="I584" t="s">
        <v>7752</v>
      </c>
      <c r="J584" t="s">
        <v>7753</v>
      </c>
      <c r="K584" t="s">
        <v>74</v>
      </c>
      <c r="L584" t="s">
        <v>74</v>
      </c>
      <c r="M584" t="s">
        <v>77</v>
      </c>
      <c r="N584" t="s">
        <v>78</v>
      </c>
      <c r="O584" t="s">
        <v>74</v>
      </c>
      <c r="P584" t="s">
        <v>74</v>
      </c>
      <c r="Q584" t="s">
        <v>74</v>
      </c>
      <c r="R584" t="s">
        <v>74</v>
      </c>
      <c r="S584" t="s">
        <v>74</v>
      </c>
      <c r="T584" t="s">
        <v>7754</v>
      </c>
      <c r="U584" t="s">
        <v>7755</v>
      </c>
      <c r="V584" t="s">
        <v>7756</v>
      </c>
      <c r="W584" t="s">
        <v>7757</v>
      </c>
      <c r="X584" t="s">
        <v>7758</v>
      </c>
      <c r="Y584" t="s">
        <v>7759</v>
      </c>
      <c r="Z584" t="s">
        <v>74</v>
      </c>
      <c r="AA584" t="s">
        <v>7760</v>
      </c>
      <c r="AB584" t="s">
        <v>74</v>
      </c>
      <c r="AC584" t="s">
        <v>74</v>
      </c>
      <c r="AD584" t="s">
        <v>74</v>
      </c>
      <c r="AE584" t="s">
        <v>74</v>
      </c>
      <c r="AF584" t="s">
        <v>74</v>
      </c>
      <c r="AG584">
        <v>21</v>
      </c>
      <c r="AH584">
        <v>15</v>
      </c>
      <c r="AI584">
        <v>20</v>
      </c>
      <c r="AJ584">
        <v>1</v>
      </c>
      <c r="AK584">
        <v>19</v>
      </c>
      <c r="AL584" t="s">
        <v>7761</v>
      </c>
      <c r="AM584" t="s">
        <v>554</v>
      </c>
      <c r="AN584" t="s">
        <v>7762</v>
      </c>
      <c r="AO584" t="s">
        <v>7763</v>
      </c>
      <c r="AP584" t="s">
        <v>74</v>
      </c>
      <c r="AQ584" t="s">
        <v>74</v>
      </c>
      <c r="AR584" t="s">
        <v>7764</v>
      </c>
      <c r="AS584" t="s">
        <v>7765</v>
      </c>
      <c r="AT584" t="s">
        <v>7623</v>
      </c>
      <c r="AU584">
        <v>1999</v>
      </c>
      <c r="AV584">
        <v>64</v>
      </c>
      <c r="AW584">
        <v>5</v>
      </c>
      <c r="AX584" t="s">
        <v>74</v>
      </c>
      <c r="AY584" t="s">
        <v>74</v>
      </c>
      <c r="AZ584" t="s">
        <v>74</v>
      </c>
      <c r="BA584" t="s">
        <v>74</v>
      </c>
      <c r="BB584">
        <v>543</v>
      </c>
      <c r="BC584">
        <v>545</v>
      </c>
      <c r="BD584" t="s">
        <v>74</v>
      </c>
      <c r="BE584" t="s">
        <v>74</v>
      </c>
      <c r="BF584" t="s">
        <v>74</v>
      </c>
      <c r="BG584" t="s">
        <v>74</v>
      </c>
      <c r="BH584" t="s">
        <v>74</v>
      </c>
      <c r="BI584">
        <v>3</v>
      </c>
      <c r="BJ584" t="s">
        <v>3233</v>
      </c>
      <c r="BK584" t="s">
        <v>96</v>
      </c>
      <c r="BL584" t="s">
        <v>3233</v>
      </c>
      <c r="BM584" t="s">
        <v>7766</v>
      </c>
      <c r="BN584">
        <v>10381614</v>
      </c>
      <c r="BO584" t="s">
        <v>74</v>
      </c>
      <c r="BP584" t="s">
        <v>74</v>
      </c>
      <c r="BQ584" t="s">
        <v>74</v>
      </c>
      <c r="BR584" t="s">
        <v>99</v>
      </c>
      <c r="BS584" t="s">
        <v>7767</v>
      </c>
      <c r="BT584" t="str">
        <f>HYPERLINK("https%3A%2F%2Fwww.webofscience.com%2Fwos%2Fwoscc%2Ffull-record%2FWOS:000080727000008","View Full Record in Web of Science")</f>
        <v>View Full Record in Web of Science</v>
      </c>
    </row>
    <row r="585" spans="1:72" x14ac:dyDescent="0.15">
      <c r="A585" t="s">
        <v>72</v>
      </c>
      <c r="B585" t="s">
        <v>7768</v>
      </c>
      <c r="C585" t="s">
        <v>74</v>
      </c>
      <c r="D585" t="s">
        <v>74</v>
      </c>
      <c r="E585" t="s">
        <v>74</v>
      </c>
      <c r="F585" t="s">
        <v>7768</v>
      </c>
      <c r="G585" t="s">
        <v>74</v>
      </c>
      <c r="H585" t="s">
        <v>74</v>
      </c>
      <c r="I585" t="s">
        <v>7769</v>
      </c>
      <c r="J585" t="s">
        <v>7770</v>
      </c>
      <c r="K585" t="s">
        <v>74</v>
      </c>
      <c r="L585" t="s">
        <v>74</v>
      </c>
      <c r="M585" t="s">
        <v>77</v>
      </c>
      <c r="N585" t="s">
        <v>78</v>
      </c>
      <c r="O585" t="s">
        <v>74</v>
      </c>
      <c r="P585" t="s">
        <v>74</v>
      </c>
      <c r="Q585" t="s">
        <v>74</v>
      </c>
      <c r="R585" t="s">
        <v>74</v>
      </c>
      <c r="S585" t="s">
        <v>74</v>
      </c>
      <c r="T585" t="s">
        <v>74</v>
      </c>
      <c r="U585" t="s">
        <v>7771</v>
      </c>
      <c r="V585" t="s">
        <v>74</v>
      </c>
      <c r="W585" t="s">
        <v>7772</v>
      </c>
      <c r="X585" t="s">
        <v>7773</v>
      </c>
      <c r="Y585" t="s">
        <v>7774</v>
      </c>
      <c r="Z585" t="s">
        <v>7775</v>
      </c>
      <c r="AA585" t="s">
        <v>7776</v>
      </c>
      <c r="AB585" t="s">
        <v>7777</v>
      </c>
      <c r="AC585" t="s">
        <v>74</v>
      </c>
      <c r="AD585" t="s">
        <v>74</v>
      </c>
      <c r="AE585" t="s">
        <v>74</v>
      </c>
      <c r="AF585" t="s">
        <v>74</v>
      </c>
      <c r="AG585">
        <v>90</v>
      </c>
      <c r="AH585">
        <v>230</v>
      </c>
      <c r="AI585">
        <v>262</v>
      </c>
      <c r="AJ585">
        <v>2</v>
      </c>
      <c r="AK585">
        <v>92</v>
      </c>
      <c r="AL585" t="s">
        <v>1090</v>
      </c>
      <c r="AM585" t="s">
        <v>276</v>
      </c>
      <c r="AN585" t="s">
        <v>1091</v>
      </c>
      <c r="AO585" t="s">
        <v>7778</v>
      </c>
      <c r="AP585" t="s">
        <v>7779</v>
      </c>
      <c r="AQ585" t="s">
        <v>74</v>
      </c>
      <c r="AR585" t="s">
        <v>7770</v>
      </c>
      <c r="AS585" t="s">
        <v>7780</v>
      </c>
      <c r="AT585" t="s">
        <v>7623</v>
      </c>
      <c r="AU585">
        <v>1999</v>
      </c>
      <c r="AV585">
        <v>49</v>
      </c>
      <c r="AW585">
        <v>5</v>
      </c>
      <c r="AX585" t="s">
        <v>74</v>
      </c>
      <c r="AY585" t="s">
        <v>74</v>
      </c>
      <c r="AZ585" t="s">
        <v>74</v>
      </c>
      <c r="BA585" t="s">
        <v>74</v>
      </c>
      <c r="BB585">
        <v>393</v>
      </c>
      <c r="BC585">
        <v>404</v>
      </c>
      <c r="BD585" t="s">
        <v>74</v>
      </c>
      <c r="BE585" t="s">
        <v>7781</v>
      </c>
      <c r="BF585" t="str">
        <f>HYPERLINK("http://dx.doi.org/10.2307/1313632","http://dx.doi.org/10.2307/1313632")</f>
        <v>http://dx.doi.org/10.2307/1313632</v>
      </c>
      <c r="BG585" t="s">
        <v>74</v>
      </c>
      <c r="BH585" t="s">
        <v>74</v>
      </c>
      <c r="BI585">
        <v>12</v>
      </c>
      <c r="BJ585" t="s">
        <v>3521</v>
      </c>
      <c r="BK585" t="s">
        <v>96</v>
      </c>
      <c r="BL585" t="s">
        <v>3522</v>
      </c>
      <c r="BM585" t="s">
        <v>7782</v>
      </c>
      <c r="BN585" t="s">
        <v>74</v>
      </c>
      <c r="BO585" t="s">
        <v>250</v>
      </c>
      <c r="BP585" t="s">
        <v>74</v>
      </c>
      <c r="BQ585" t="s">
        <v>74</v>
      </c>
      <c r="BR585" t="s">
        <v>99</v>
      </c>
      <c r="BS585" t="s">
        <v>7783</v>
      </c>
      <c r="BT585" t="str">
        <f>HYPERLINK("https%3A%2F%2Fwww.webofscience.com%2Fwos%2Fwoscc%2Ffull-record%2FWOS:000079819500008","View Full Record in Web of Science")</f>
        <v>View Full Record in Web of Science</v>
      </c>
    </row>
    <row r="586" spans="1:72" x14ac:dyDescent="0.15">
      <c r="A586" t="s">
        <v>72</v>
      </c>
      <c r="B586" t="s">
        <v>7784</v>
      </c>
      <c r="C586" t="s">
        <v>74</v>
      </c>
      <c r="D586" t="s">
        <v>74</v>
      </c>
      <c r="E586" t="s">
        <v>74</v>
      </c>
      <c r="F586" t="s">
        <v>7784</v>
      </c>
      <c r="G586" t="s">
        <v>74</v>
      </c>
      <c r="H586" t="s">
        <v>74</v>
      </c>
      <c r="I586" t="s">
        <v>7785</v>
      </c>
      <c r="J586" t="s">
        <v>5263</v>
      </c>
      <c r="K586" t="s">
        <v>74</v>
      </c>
      <c r="L586" t="s">
        <v>74</v>
      </c>
      <c r="M586" t="s">
        <v>77</v>
      </c>
      <c r="N586" t="s">
        <v>78</v>
      </c>
      <c r="O586" t="s">
        <v>74</v>
      </c>
      <c r="P586" t="s">
        <v>74</v>
      </c>
      <c r="Q586" t="s">
        <v>74</v>
      </c>
      <c r="R586" t="s">
        <v>74</v>
      </c>
      <c r="S586" t="s">
        <v>74</v>
      </c>
      <c r="T586" t="s">
        <v>7786</v>
      </c>
      <c r="U586" t="s">
        <v>7787</v>
      </c>
      <c r="V586" t="s">
        <v>7788</v>
      </c>
      <c r="W586" t="s">
        <v>7789</v>
      </c>
      <c r="X586" t="s">
        <v>7790</v>
      </c>
      <c r="Y586" t="s">
        <v>7791</v>
      </c>
      <c r="Z586" t="s">
        <v>74</v>
      </c>
      <c r="AA586" t="s">
        <v>7792</v>
      </c>
      <c r="AB586" t="s">
        <v>7793</v>
      </c>
      <c r="AC586" t="s">
        <v>74</v>
      </c>
      <c r="AD586" t="s">
        <v>74</v>
      </c>
      <c r="AE586" t="s">
        <v>74</v>
      </c>
      <c r="AF586" t="s">
        <v>74</v>
      </c>
      <c r="AG586">
        <v>43</v>
      </c>
      <c r="AH586">
        <v>49</v>
      </c>
      <c r="AI586">
        <v>56</v>
      </c>
      <c r="AJ586">
        <v>2</v>
      </c>
      <c r="AK586">
        <v>12</v>
      </c>
      <c r="AL586" t="s">
        <v>705</v>
      </c>
      <c r="AM586" t="s">
        <v>5269</v>
      </c>
      <c r="AN586" t="s">
        <v>5270</v>
      </c>
      <c r="AO586" t="s">
        <v>5271</v>
      </c>
      <c r="AP586" t="s">
        <v>5272</v>
      </c>
      <c r="AQ586" t="s">
        <v>74</v>
      </c>
      <c r="AR586" t="s">
        <v>5273</v>
      </c>
      <c r="AS586" t="s">
        <v>5274</v>
      </c>
      <c r="AT586" t="s">
        <v>7623</v>
      </c>
      <c r="AU586">
        <v>1999</v>
      </c>
      <c r="AV586">
        <v>91</v>
      </c>
      <c r="AW586">
        <v>2</v>
      </c>
      <c r="AX586" t="s">
        <v>74</v>
      </c>
      <c r="AY586" t="s">
        <v>74</v>
      </c>
      <c r="AZ586" t="s">
        <v>74</v>
      </c>
      <c r="BA586" t="s">
        <v>74</v>
      </c>
      <c r="BB586">
        <v>165</v>
      </c>
      <c r="BC586">
        <v>189</v>
      </c>
      <c r="BD586" t="s">
        <v>74</v>
      </c>
      <c r="BE586" t="s">
        <v>7794</v>
      </c>
      <c r="BF586" t="str">
        <f>HYPERLINK("http://dx.doi.org/10.1023/A:1001889423449","http://dx.doi.org/10.1023/A:1001889423449")</f>
        <v>http://dx.doi.org/10.1023/A:1001889423449</v>
      </c>
      <c r="BG586" t="s">
        <v>74</v>
      </c>
      <c r="BH586" t="s">
        <v>74</v>
      </c>
      <c r="BI586">
        <v>25</v>
      </c>
      <c r="BJ586" t="s">
        <v>95</v>
      </c>
      <c r="BK586" t="s">
        <v>96</v>
      </c>
      <c r="BL586" t="s">
        <v>95</v>
      </c>
      <c r="BM586" t="s">
        <v>7795</v>
      </c>
      <c r="BN586" t="s">
        <v>74</v>
      </c>
      <c r="BO586" t="s">
        <v>74</v>
      </c>
      <c r="BP586" t="s">
        <v>74</v>
      </c>
      <c r="BQ586" t="s">
        <v>74</v>
      </c>
      <c r="BR586" t="s">
        <v>99</v>
      </c>
      <c r="BS586" t="s">
        <v>7796</v>
      </c>
      <c r="BT586" t="str">
        <f>HYPERLINK("https%3A%2F%2Fwww.webofscience.com%2Fwos%2Fwoscc%2Ffull-record%2FWOS:000081270900002","View Full Record in Web of Science")</f>
        <v>View Full Record in Web of Science</v>
      </c>
    </row>
    <row r="587" spans="1:72" x14ac:dyDescent="0.15">
      <c r="A587" t="s">
        <v>72</v>
      </c>
      <c r="B587" t="s">
        <v>7797</v>
      </c>
      <c r="C587" t="s">
        <v>74</v>
      </c>
      <c r="D587" t="s">
        <v>74</v>
      </c>
      <c r="E587" t="s">
        <v>74</v>
      </c>
      <c r="F587" t="s">
        <v>7797</v>
      </c>
      <c r="G587" t="s">
        <v>74</v>
      </c>
      <c r="H587" t="s">
        <v>74</v>
      </c>
      <c r="I587" t="s">
        <v>7798</v>
      </c>
      <c r="J587" t="s">
        <v>733</v>
      </c>
      <c r="K587" t="s">
        <v>74</v>
      </c>
      <c r="L587" t="s">
        <v>74</v>
      </c>
      <c r="M587" t="s">
        <v>77</v>
      </c>
      <c r="N587" t="s">
        <v>78</v>
      </c>
      <c r="O587" t="s">
        <v>74</v>
      </c>
      <c r="P587" t="s">
        <v>74</v>
      </c>
      <c r="Q587" t="s">
        <v>74</v>
      </c>
      <c r="R587" t="s">
        <v>74</v>
      </c>
      <c r="S587" t="s">
        <v>74</v>
      </c>
      <c r="T587" t="s">
        <v>74</v>
      </c>
      <c r="U587" t="s">
        <v>7799</v>
      </c>
      <c r="V587" t="s">
        <v>7800</v>
      </c>
      <c r="W587" t="s">
        <v>7801</v>
      </c>
      <c r="X587" t="s">
        <v>7802</v>
      </c>
      <c r="Y587" t="s">
        <v>7803</v>
      </c>
      <c r="Z587" t="s">
        <v>74</v>
      </c>
      <c r="AA587" t="s">
        <v>7804</v>
      </c>
      <c r="AB587" t="s">
        <v>7805</v>
      </c>
      <c r="AC587" t="s">
        <v>74</v>
      </c>
      <c r="AD587" t="s">
        <v>74</v>
      </c>
      <c r="AE587" t="s">
        <v>74</v>
      </c>
      <c r="AF587" t="s">
        <v>74</v>
      </c>
      <c r="AG587">
        <v>17</v>
      </c>
      <c r="AH587">
        <v>24</v>
      </c>
      <c r="AI587">
        <v>26</v>
      </c>
      <c r="AJ587">
        <v>1</v>
      </c>
      <c r="AK587">
        <v>19</v>
      </c>
      <c r="AL587" t="s">
        <v>721</v>
      </c>
      <c r="AM587" t="s">
        <v>722</v>
      </c>
      <c r="AN587" t="s">
        <v>723</v>
      </c>
      <c r="AO587" t="s">
        <v>741</v>
      </c>
      <c r="AP587" t="s">
        <v>74</v>
      </c>
      <c r="AQ587" t="s">
        <v>74</v>
      </c>
      <c r="AR587" t="s">
        <v>742</v>
      </c>
      <c r="AS587" t="s">
        <v>743</v>
      </c>
      <c r="AT587" t="s">
        <v>7623</v>
      </c>
      <c r="AU587">
        <v>1999</v>
      </c>
      <c r="AV587">
        <v>77</v>
      </c>
      <c r="AW587">
        <v>5</v>
      </c>
      <c r="AX587" t="s">
        <v>74</v>
      </c>
      <c r="AY587" t="s">
        <v>74</v>
      </c>
      <c r="AZ587" t="s">
        <v>74</v>
      </c>
      <c r="BA587" t="s">
        <v>74</v>
      </c>
      <c r="BB587">
        <v>690</v>
      </c>
      <c r="BC587">
        <v>696</v>
      </c>
      <c r="BD587" t="s">
        <v>74</v>
      </c>
      <c r="BE587" t="s">
        <v>7806</v>
      </c>
      <c r="BF587" t="str">
        <f>HYPERLINK("http://dx.doi.org/10.1139/cjz-77-5-690","http://dx.doi.org/10.1139/cjz-77-5-690")</f>
        <v>http://dx.doi.org/10.1139/cjz-77-5-690</v>
      </c>
      <c r="BG587" t="s">
        <v>74</v>
      </c>
      <c r="BH587" t="s">
        <v>74</v>
      </c>
      <c r="BI587">
        <v>7</v>
      </c>
      <c r="BJ587" t="s">
        <v>142</v>
      </c>
      <c r="BK587" t="s">
        <v>96</v>
      </c>
      <c r="BL587" t="s">
        <v>142</v>
      </c>
      <c r="BM587" t="s">
        <v>7807</v>
      </c>
      <c r="BN587" t="s">
        <v>74</v>
      </c>
      <c r="BO587" t="s">
        <v>74</v>
      </c>
      <c r="BP587" t="s">
        <v>74</v>
      </c>
      <c r="BQ587" t="s">
        <v>74</v>
      </c>
      <c r="BR587" t="s">
        <v>99</v>
      </c>
      <c r="BS587" t="s">
        <v>7808</v>
      </c>
      <c r="BT587" t="str">
        <f>HYPERLINK("https%3A%2F%2Fwww.webofscience.com%2Fwos%2Fwoscc%2Ffull-record%2FWOS:000083415500003","View Full Record in Web of Science")</f>
        <v>View Full Record in Web of Science</v>
      </c>
    </row>
    <row r="588" spans="1:72" x14ac:dyDescent="0.15">
      <c r="A588" t="s">
        <v>72</v>
      </c>
      <c r="B588" t="s">
        <v>7809</v>
      </c>
      <c r="C588" t="s">
        <v>74</v>
      </c>
      <c r="D588" t="s">
        <v>74</v>
      </c>
      <c r="E588" t="s">
        <v>74</v>
      </c>
      <c r="F588" t="s">
        <v>7809</v>
      </c>
      <c r="G588" t="s">
        <v>74</v>
      </c>
      <c r="H588" t="s">
        <v>74</v>
      </c>
      <c r="I588" t="s">
        <v>7810</v>
      </c>
      <c r="J588" t="s">
        <v>766</v>
      </c>
      <c r="K588" t="s">
        <v>74</v>
      </c>
      <c r="L588" t="s">
        <v>74</v>
      </c>
      <c r="M588" t="s">
        <v>767</v>
      </c>
      <c r="N588" t="s">
        <v>78</v>
      </c>
      <c r="O588" t="s">
        <v>74</v>
      </c>
      <c r="P588" t="s">
        <v>74</v>
      </c>
      <c r="Q588" t="s">
        <v>74</v>
      </c>
      <c r="R588" t="s">
        <v>74</v>
      </c>
      <c r="S588" t="s">
        <v>74</v>
      </c>
      <c r="T588" t="s">
        <v>7811</v>
      </c>
      <c r="U588" t="s">
        <v>7812</v>
      </c>
      <c r="V588" t="s">
        <v>7813</v>
      </c>
      <c r="W588" t="s">
        <v>7814</v>
      </c>
      <c r="X588" t="s">
        <v>7815</v>
      </c>
      <c r="Y588" t="s">
        <v>7816</v>
      </c>
      <c r="Z588" t="s">
        <v>74</v>
      </c>
      <c r="AA588" t="s">
        <v>74</v>
      </c>
      <c r="AB588" t="s">
        <v>74</v>
      </c>
      <c r="AC588" t="s">
        <v>74</v>
      </c>
      <c r="AD588" t="s">
        <v>74</v>
      </c>
      <c r="AE588" t="s">
        <v>74</v>
      </c>
      <c r="AF588" t="s">
        <v>74</v>
      </c>
      <c r="AG588">
        <v>9</v>
      </c>
      <c r="AH588">
        <v>0</v>
      </c>
      <c r="AI588">
        <v>0</v>
      </c>
      <c r="AJ588">
        <v>0</v>
      </c>
      <c r="AK588">
        <v>0</v>
      </c>
      <c r="AL588" t="s">
        <v>774</v>
      </c>
      <c r="AM588" t="s">
        <v>775</v>
      </c>
      <c r="AN588" t="s">
        <v>776</v>
      </c>
      <c r="AO588" t="s">
        <v>777</v>
      </c>
      <c r="AP588" t="s">
        <v>74</v>
      </c>
      <c r="AQ588" t="s">
        <v>74</v>
      </c>
      <c r="AR588" t="s">
        <v>778</v>
      </c>
      <c r="AS588" t="s">
        <v>779</v>
      </c>
      <c r="AT588" t="s">
        <v>7623</v>
      </c>
      <c r="AU588">
        <v>1999</v>
      </c>
      <c r="AV588">
        <v>42</v>
      </c>
      <c r="AW588">
        <v>3</v>
      </c>
      <c r="AX588" t="s">
        <v>74</v>
      </c>
      <c r="AY588" t="s">
        <v>74</v>
      </c>
      <c r="AZ588" t="s">
        <v>74</v>
      </c>
      <c r="BA588" t="s">
        <v>74</v>
      </c>
      <c r="BB588">
        <v>310</v>
      </c>
      <c r="BC588">
        <v>321</v>
      </c>
      <c r="BD588" t="s">
        <v>74</v>
      </c>
      <c r="BE588" t="s">
        <v>74</v>
      </c>
      <c r="BF588" t="s">
        <v>74</v>
      </c>
      <c r="BG588" t="s">
        <v>74</v>
      </c>
      <c r="BH588" t="s">
        <v>74</v>
      </c>
      <c r="BI588">
        <v>12</v>
      </c>
      <c r="BJ588" t="s">
        <v>216</v>
      </c>
      <c r="BK588" t="s">
        <v>96</v>
      </c>
      <c r="BL588" t="s">
        <v>216</v>
      </c>
      <c r="BM588" t="s">
        <v>7817</v>
      </c>
      <c r="BN588" t="s">
        <v>74</v>
      </c>
      <c r="BO588" t="s">
        <v>74</v>
      </c>
      <c r="BP588" t="s">
        <v>74</v>
      </c>
      <c r="BQ588" t="s">
        <v>74</v>
      </c>
      <c r="BR588" t="s">
        <v>99</v>
      </c>
      <c r="BS588" t="s">
        <v>7818</v>
      </c>
      <c r="BT588" t="str">
        <f>HYPERLINK("https%3A%2F%2Fwww.webofscience.com%2Fwos%2Fwoscc%2Ffull-record%2FWOS:000083223700004","View Full Record in Web of Science")</f>
        <v>View Full Record in Web of Science</v>
      </c>
    </row>
    <row r="589" spans="1:72" x14ac:dyDescent="0.15">
      <c r="A589" t="s">
        <v>72</v>
      </c>
      <c r="B589" t="s">
        <v>7819</v>
      </c>
      <c r="C589" t="s">
        <v>74</v>
      </c>
      <c r="D589" t="s">
        <v>74</v>
      </c>
      <c r="E589" t="s">
        <v>74</v>
      </c>
      <c r="F589" t="s">
        <v>7819</v>
      </c>
      <c r="G589" t="s">
        <v>74</v>
      </c>
      <c r="H589" t="s">
        <v>74</v>
      </c>
      <c r="I589" t="s">
        <v>7820</v>
      </c>
      <c r="J589" t="s">
        <v>3150</v>
      </c>
      <c r="K589" t="s">
        <v>74</v>
      </c>
      <c r="L589" t="s">
        <v>74</v>
      </c>
      <c r="M589" t="s">
        <v>77</v>
      </c>
      <c r="N589" t="s">
        <v>78</v>
      </c>
      <c r="O589" t="s">
        <v>74</v>
      </c>
      <c r="P589" t="s">
        <v>74</v>
      </c>
      <c r="Q589" t="s">
        <v>74</v>
      </c>
      <c r="R589" t="s">
        <v>74</v>
      </c>
      <c r="S589" t="s">
        <v>74</v>
      </c>
      <c r="T589" t="s">
        <v>74</v>
      </c>
      <c r="U589" t="s">
        <v>7821</v>
      </c>
      <c r="V589" t="s">
        <v>7822</v>
      </c>
      <c r="W589" t="s">
        <v>7823</v>
      </c>
      <c r="X589" t="s">
        <v>7824</v>
      </c>
      <c r="Y589" t="s">
        <v>7825</v>
      </c>
      <c r="Z589" t="s">
        <v>74</v>
      </c>
      <c r="AA589" t="s">
        <v>7826</v>
      </c>
      <c r="AB589" t="s">
        <v>7827</v>
      </c>
      <c r="AC589" t="s">
        <v>74</v>
      </c>
      <c r="AD589" t="s">
        <v>74</v>
      </c>
      <c r="AE589" t="s">
        <v>74</v>
      </c>
      <c r="AF589" t="s">
        <v>74</v>
      </c>
      <c r="AG589">
        <v>91</v>
      </c>
      <c r="AH589">
        <v>58</v>
      </c>
      <c r="AI589">
        <v>63</v>
      </c>
      <c r="AJ589">
        <v>0</v>
      </c>
      <c r="AK589">
        <v>18</v>
      </c>
      <c r="AL589" t="s">
        <v>553</v>
      </c>
      <c r="AM589" t="s">
        <v>554</v>
      </c>
      <c r="AN589" t="s">
        <v>555</v>
      </c>
      <c r="AO589" t="s">
        <v>3155</v>
      </c>
      <c r="AP589" t="s">
        <v>74</v>
      </c>
      <c r="AQ589" t="s">
        <v>74</v>
      </c>
      <c r="AR589" t="s">
        <v>3156</v>
      </c>
      <c r="AS589" t="s">
        <v>3157</v>
      </c>
      <c r="AT589" t="s">
        <v>7623</v>
      </c>
      <c r="AU589">
        <v>1999</v>
      </c>
      <c r="AV589">
        <v>15</v>
      </c>
      <c r="AW589">
        <v>5</v>
      </c>
      <c r="AX589" t="s">
        <v>74</v>
      </c>
      <c r="AY589" t="s">
        <v>74</v>
      </c>
      <c r="AZ589" t="s">
        <v>74</v>
      </c>
      <c r="BA589" t="s">
        <v>74</v>
      </c>
      <c r="BB589">
        <v>341</v>
      </c>
      <c r="BC589">
        <v>354</v>
      </c>
      <c r="BD589" t="s">
        <v>74</v>
      </c>
      <c r="BE589" t="s">
        <v>7828</v>
      </c>
      <c r="BF589" t="str">
        <f>HYPERLINK("http://dx.doi.org/10.1007/s003820050286","http://dx.doi.org/10.1007/s003820050286")</f>
        <v>http://dx.doi.org/10.1007/s003820050286</v>
      </c>
      <c r="BG589" t="s">
        <v>74</v>
      </c>
      <c r="BH589" t="s">
        <v>74</v>
      </c>
      <c r="BI589">
        <v>14</v>
      </c>
      <c r="BJ589" t="s">
        <v>95</v>
      </c>
      <c r="BK589" t="s">
        <v>96</v>
      </c>
      <c r="BL589" t="s">
        <v>95</v>
      </c>
      <c r="BM589" t="s">
        <v>7829</v>
      </c>
      <c r="BN589" t="s">
        <v>74</v>
      </c>
      <c r="BO589" t="s">
        <v>518</v>
      </c>
      <c r="BP589" t="s">
        <v>74</v>
      </c>
      <c r="BQ589" t="s">
        <v>74</v>
      </c>
      <c r="BR589" t="s">
        <v>99</v>
      </c>
      <c r="BS589" t="s">
        <v>7830</v>
      </c>
      <c r="BT589" t="str">
        <f>HYPERLINK("https%3A%2F%2Fwww.webofscience.com%2Fwos%2Fwoscc%2Ffull-record%2FWOS:000080307800003","View Full Record in Web of Science")</f>
        <v>View Full Record in Web of Science</v>
      </c>
    </row>
    <row r="590" spans="1:72" x14ac:dyDescent="0.15">
      <c r="A590" t="s">
        <v>72</v>
      </c>
      <c r="B590" t="s">
        <v>7831</v>
      </c>
      <c r="C590" t="s">
        <v>74</v>
      </c>
      <c r="D590" t="s">
        <v>74</v>
      </c>
      <c r="E590" t="s">
        <v>74</v>
      </c>
      <c r="F590" t="s">
        <v>7831</v>
      </c>
      <c r="G590" t="s">
        <v>74</v>
      </c>
      <c r="H590" t="s">
        <v>74</v>
      </c>
      <c r="I590" t="s">
        <v>7832</v>
      </c>
      <c r="J590" t="s">
        <v>2702</v>
      </c>
      <c r="K590" t="s">
        <v>74</v>
      </c>
      <c r="L590" t="s">
        <v>74</v>
      </c>
      <c r="M590" t="s">
        <v>3164</v>
      </c>
      <c r="N590" t="s">
        <v>78</v>
      </c>
      <c r="O590" t="s">
        <v>74</v>
      </c>
      <c r="P590" t="s">
        <v>74</v>
      </c>
      <c r="Q590" t="s">
        <v>74</v>
      </c>
      <c r="R590" t="s">
        <v>74</v>
      </c>
      <c r="S590" t="s">
        <v>74</v>
      </c>
      <c r="T590" t="s">
        <v>7833</v>
      </c>
      <c r="U590" t="s">
        <v>7834</v>
      </c>
      <c r="V590" t="s">
        <v>7835</v>
      </c>
      <c r="W590" t="s">
        <v>7836</v>
      </c>
      <c r="X590" t="s">
        <v>7837</v>
      </c>
      <c r="Y590" t="s">
        <v>7838</v>
      </c>
      <c r="Z590" t="s">
        <v>74</v>
      </c>
      <c r="AA590" t="s">
        <v>74</v>
      </c>
      <c r="AB590" t="s">
        <v>74</v>
      </c>
      <c r="AC590" t="s">
        <v>74</v>
      </c>
      <c r="AD590" t="s">
        <v>74</v>
      </c>
      <c r="AE590" t="s">
        <v>74</v>
      </c>
      <c r="AF590" t="s">
        <v>74</v>
      </c>
      <c r="AG590">
        <v>10</v>
      </c>
      <c r="AH590">
        <v>15</v>
      </c>
      <c r="AI590">
        <v>16</v>
      </c>
      <c r="AJ590">
        <v>0</v>
      </c>
      <c r="AK590">
        <v>1</v>
      </c>
      <c r="AL590" t="s">
        <v>2711</v>
      </c>
      <c r="AM590" t="s">
        <v>2712</v>
      </c>
      <c r="AN590" t="s">
        <v>2713</v>
      </c>
      <c r="AO590" t="s">
        <v>2714</v>
      </c>
      <c r="AP590" t="s">
        <v>74</v>
      </c>
      <c r="AQ590" t="s">
        <v>74</v>
      </c>
      <c r="AR590" t="s">
        <v>2715</v>
      </c>
      <c r="AS590" t="s">
        <v>2716</v>
      </c>
      <c r="AT590" t="s">
        <v>7623</v>
      </c>
      <c r="AU590">
        <v>1999</v>
      </c>
      <c r="AV590">
        <v>328</v>
      </c>
      <c r="AW590">
        <v>9</v>
      </c>
      <c r="AX590" t="s">
        <v>74</v>
      </c>
      <c r="AY590" t="s">
        <v>74</v>
      </c>
      <c r="AZ590" t="s">
        <v>74</v>
      </c>
      <c r="BA590" t="s">
        <v>74</v>
      </c>
      <c r="BB590">
        <v>583</v>
      </c>
      <c r="BC590">
        <v>589</v>
      </c>
      <c r="BD590" t="s">
        <v>74</v>
      </c>
      <c r="BE590" t="s">
        <v>7839</v>
      </c>
      <c r="BF590" t="str">
        <f>HYPERLINK("http://dx.doi.org/10.1016/S1251-8050(99)80154-2","http://dx.doi.org/10.1016/S1251-8050(99)80154-2")</f>
        <v>http://dx.doi.org/10.1016/S1251-8050(99)80154-2</v>
      </c>
      <c r="BG590" t="s">
        <v>74</v>
      </c>
      <c r="BH590" t="s">
        <v>74</v>
      </c>
      <c r="BI590">
        <v>7</v>
      </c>
      <c r="BJ590" t="s">
        <v>387</v>
      </c>
      <c r="BK590" t="s">
        <v>96</v>
      </c>
      <c r="BL590" t="s">
        <v>388</v>
      </c>
      <c r="BM590" t="s">
        <v>7840</v>
      </c>
      <c r="BN590" t="s">
        <v>74</v>
      </c>
      <c r="BO590" t="s">
        <v>74</v>
      </c>
      <c r="BP590" t="s">
        <v>74</v>
      </c>
      <c r="BQ590" t="s">
        <v>74</v>
      </c>
      <c r="BR590" t="s">
        <v>99</v>
      </c>
      <c r="BS590" t="s">
        <v>7841</v>
      </c>
      <c r="BT590" t="str">
        <f>HYPERLINK("https%3A%2F%2Fwww.webofscience.com%2Fwos%2Fwoscc%2Ffull-record%2FWOS:000080538000003","View Full Record in Web of Science")</f>
        <v>View Full Record in Web of Science</v>
      </c>
    </row>
    <row r="591" spans="1:72" x14ac:dyDescent="0.15">
      <c r="A591" t="s">
        <v>72</v>
      </c>
      <c r="B591" t="s">
        <v>7842</v>
      </c>
      <c r="C591" t="s">
        <v>74</v>
      </c>
      <c r="D591" t="s">
        <v>74</v>
      </c>
      <c r="E591" t="s">
        <v>74</v>
      </c>
      <c r="F591" t="s">
        <v>7842</v>
      </c>
      <c r="G591" t="s">
        <v>74</v>
      </c>
      <c r="H591" t="s">
        <v>74</v>
      </c>
      <c r="I591" t="s">
        <v>7843</v>
      </c>
      <c r="J591" t="s">
        <v>7844</v>
      </c>
      <c r="K591" t="s">
        <v>74</v>
      </c>
      <c r="L591" t="s">
        <v>74</v>
      </c>
      <c r="M591" t="s">
        <v>77</v>
      </c>
      <c r="N591" t="s">
        <v>78</v>
      </c>
      <c r="O591" t="s">
        <v>74</v>
      </c>
      <c r="P591" t="s">
        <v>74</v>
      </c>
      <c r="Q591" t="s">
        <v>74</v>
      </c>
      <c r="R591" t="s">
        <v>74</v>
      </c>
      <c r="S591" t="s">
        <v>74</v>
      </c>
      <c r="T591" t="s">
        <v>7845</v>
      </c>
      <c r="U591" t="s">
        <v>7846</v>
      </c>
      <c r="V591" t="s">
        <v>7847</v>
      </c>
      <c r="W591" t="s">
        <v>151</v>
      </c>
      <c r="X591" t="s">
        <v>131</v>
      </c>
      <c r="Y591" t="s">
        <v>7848</v>
      </c>
      <c r="Z591" t="s">
        <v>3794</v>
      </c>
      <c r="AA591" t="s">
        <v>74</v>
      </c>
      <c r="AB591" t="s">
        <v>74</v>
      </c>
      <c r="AC591" t="s">
        <v>74</v>
      </c>
      <c r="AD591" t="s">
        <v>74</v>
      </c>
      <c r="AE591" t="s">
        <v>74</v>
      </c>
      <c r="AF591" t="s">
        <v>74</v>
      </c>
      <c r="AG591">
        <v>25</v>
      </c>
      <c r="AH591">
        <v>12</v>
      </c>
      <c r="AI591">
        <v>12</v>
      </c>
      <c r="AJ591">
        <v>0</v>
      </c>
      <c r="AK591">
        <v>6</v>
      </c>
      <c r="AL591" t="s">
        <v>7849</v>
      </c>
      <c r="AM591" t="s">
        <v>7850</v>
      </c>
      <c r="AN591" t="s">
        <v>7851</v>
      </c>
      <c r="AO591" t="s">
        <v>74</v>
      </c>
      <c r="AP591" t="s">
        <v>7852</v>
      </c>
      <c r="AQ591" t="s">
        <v>74</v>
      </c>
      <c r="AR591" t="s">
        <v>7844</v>
      </c>
      <c r="AS591" t="s">
        <v>7853</v>
      </c>
      <c r="AT591" t="s">
        <v>7623</v>
      </c>
      <c r="AU591">
        <v>1999</v>
      </c>
      <c r="AV591">
        <v>101</v>
      </c>
      <c r="AW591">
        <v>2</v>
      </c>
      <c r="AX591" t="s">
        <v>74</v>
      </c>
      <c r="AY591" t="s">
        <v>74</v>
      </c>
      <c r="AZ591" t="s">
        <v>74</v>
      </c>
      <c r="BA591" t="s">
        <v>74</v>
      </c>
      <c r="BB591">
        <v>360</v>
      </c>
      <c r="BC591">
        <v>368</v>
      </c>
      <c r="BD591" t="s">
        <v>74</v>
      </c>
      <c r="BE591" t="s">
        <v>7854</v>
      </c>
      <c r="BF591" t="str">
        <f>HYPERLINK("http://dx.doi.org/10.2307/1369999","http://dx.doi.org/10.2307/1369999")</f>
        <v>http://dx.doi.org/10.2307/1369999</v>
      </c>
      <c r="BG591" t="s">
        <v>74</v>
      </c>
      <c r="BH591" t="s">
        <v>74</v>
      </c>
      <c r="BI591">
        <v>9</v>
      </c>
      <c r="BJ591" t="s">
        <v>2212</v>
      </c>
      <c r="BK591" t="s">
        <v>96</v>
      </c>
      <c r="BL591" t="s">
        <v>142</v>
      </c>
      <c r="BM591" t="s">
        <v>7855</v>
      </c>
      <c r="BN591" t="s">
        <v>74</v>
      </c>
      <c r="BO591" t="s">
        <v>250</v>
      </c>
      <c r="BP591" t="s">
        <v>74</v>
      </c>
      <c r="BQ591" t="s">
        <v>74</v>
      </c>
      <c r="BR591" t="s">
        <v>99</v>
      </c>
      <c r="BS591" t="s">
        <v>7856</v>
      </c>
      <c r="BT591" t="str">
        <f>HYPERLINK("https%3A%2F%2Fwww.webofscience.com%2Fwos%2Fwoscc%2Ffull-record%2FWOS:000080005700017","View Full Record in Web of Science")</f>
        <v>View Full Record in Web of Science</v>
      </c>
    </row>
    <row r="592" spans="1:72" x14ac:dyDescent="0.15">
      <c r="A592" t="s">
        <v>72</v>
      </c>
      <c r="B592" t="s">
        <v>7857</v>
      </c>
      <c r="C592" t="s">
        <v>74</v>
      </c>
      <c r="D592" t="s">
        <v>74</v>
      </c>
      <c r="E592" t="s">
        <v>74</v>
      </c>
      <c r="F592" t="s">
        <v>7857</v>
      </c>
      <c r="G592" t="s">
        <v>74</v>
      </c>
      <c r="H592" t="s">
        <v>74</v>
      </c>
      <c r="I592" t="s">
        <v>7858</v>
      </c>
      <c r="J592" t="s">
        <v>7859</v>
      </c>
      <c r="K592" t="s">
        <v>74</v>
      </c>
      <c r="L592" t="s">
        <v>74</v>
      </c>
      <c r="M592" t="s">
        <v>77</v>
      </c>
      <c r="N592" t="s">
        <v>78</v>
      </c>
      <c r="O592" t="s">
        <v>74</v>
      </c>
      <c r="P592" t="s">
        <v>74</v>
      </c>
      <c r="Q592" t="s">
        <v>74</v>
      </c>
      <c r="R592" t="s">
        <v>74</v>
      </c>
      <c r="S592" t="s">
        <v>74</v>
      </c>
      <c r="T592" t="s">
        <v>74</v>
      </c>
      <c r="U592" t="s">
        <v>7860</v>
      </c>
      <c r="V592" t="s">
        <v>7861</v>
      </c>
      <c r="W592" t="s">
        <v>151</v>
      </c>
      <c r="X592" t="s">
        <v>131</v>
      </c>
      <c r="Y592" t="s">
        <v>7862</v>
      </c>
      <c r="Z592" t="s">
        <v>7863</v>
      </c>
      <c r="AA592" t="s">
        <v>7864</v>
      </c>
      <c r="AB592" t="s">
        <v>3641</v>
      </c>
      <c r="AC592" t="s">
        <v>74</v>
      </c>
      <c r="AD592" t="s">
        <v>74</v>
      </c>
      <c r="AE592" t="s">
        <v>74</v>
      </c>
      <c r="AF592" t="s">
        <v>74</v>
      </c>
      <c r="AG592">
        <v>30</v>
      </c>
      <c r="AH592">
        <v>38</v>
      </c>
      <c r="AI592">
        <v>38</v>
      </c>
      <c r="AJ592">
        <v>0</v>
      </c>
      <c r="AK592">
        <v>6</v>
      </c>
      <c r="AL592" t="s">
        <v>275</v>
      </c>
      <c r="AM592" t="s">
        <v>276</v>
      </c>
      <c r="AN592" t="s">
        <v>277</v>
      </c>
      <c r="AO592" t="s">
        <v>7865</v>
      </c>
      <c r="AP592" t="s">
        <v>74</v>
      </c>
      <c r="AQ592" t="s">
        <v>74</v>
      </c>
      <c r="AR592" t="s">
        <v>7866</v>
      </c>
      <c r="AS592" t="s">
        <v>7867</v>
      </c>
      <c r="AT592" t="s">
        <v>7623</v>
      </c>
      <c r="AU592">
        <v>1999</v>
      </c>
      <c r="AV592">
        <v>19</v>
      </c>
      <c r="AW592">
        <v>6</v>
      </c>
      <c r="AX592" t="s">
        <v>74</v>
      </c>
      <c r="AY592" t="s">
        <v>74</v>
      </c>
      <c r="AZ592" t="s">
        <v>74</v>
      </c>
      <c r="BA592" t="s">
        <v>74</v>
      </c>
      <c r="BB592">
        <v>799</v>
      </c>
      <c r="BC592">
        <v>819</v>
      </c>
      <c r="BD592" t="s">
        <v>74</v>
      </c>
      <c r="BE592" t="s">
        <v>7868</v>
      </c>
      <c r="BF592" t="str">
        <f>HYPERLINK("http://dx.doi.org/10.1016/S0278-4343(98)00112-5","http://dx.doi.org/10.1016/S0278-4343(98)00112-5")</f>
        <v>http://dx.doi.org/10.1016/S0278-4343(98)00112-5</v>
      </c>
      <c r="BG592" t="s">
        <v>74</v>
      </c>
      <c r="BH592" t="s">
        <v>74</v>
      </c>
      <c r="BI592">
        <v>21</v>
      </c>
      <c r="BJ592" t="s">
        <v>416</v>
      </c>
      <c r="BK592" t="s">
        <v>96</v>
      </c>
      <c r="BL592" t="s">
        <v>416</v>
      </c>
      <c r="BM592" t="s">
        <v>7869</v>
      </c>
      <c r="BN592" t="s">
        <v>74</v>
      </c>
      <c r="BO592" t="s">
        <v>74</v>
      </c>
      <c r="BP592" t="s">
        <v>74</v>
      </c>
      <c r="BQ592" t="s">
        <v>74</v>
      </c>
      <c r="BR592" t="s">
        <v>99</v>
      </c>
      <c r="BS592" t="s">
        <v>7870</v>
      </c>
      <c r="BT592" t="str">
        <f>HYPERLINK("https%3A%2F%2Fwww.webofscience.com%2Fwos%2Fwoscc%2Ffull-record%2FWOS:000079634000004","View Full Record in Web of Science")</f>
        <v>View Full Record in Web of Science</v>
      </c>
    </row>
    <row r="593" spans="1:72" x14ac:dyDescent="0.15">
      <c r="A593" t="s">
        <v>72</v>
      </c>
      <c r="B593" t="s">
        <v>7871</v>
      </c>
      <c r="C593" t="s">
        <v>74</v>
      </c>
      <c r="D593" t="s">
        <v>74</v>
      </c>
      <c r="E593" t="s">
        <v>74</v>
      </c>
      <c r="F593" t="s">
        <v>7871</v>
      </c>
      <c r="G593" t="s">
        <v>74</v>
      </c>
      <c r="H593" t="s">
        <v>74</v>
      </c>
      <c r="I593" t="s">
        <v>7872</v>
      </c>
      <c r="J593" t="s">
        <v>844</v>
      </c>
      <c r="K593" t="s">
        <v>74</v>
      </c>
      <c r="L593" t="s">
        <v>74</v>
      </c>
      <c r="M593" t="s">
        <v>845</v>
      </c>
      <c r="N593" t="s">
        <v>78</v>
      </c>
      <c r="O593" t="s">
        <v>74</v>
      </c>
      <c r="P593" t="s">
        <v>74</v>
      </c>
      <c r="Q593" t="s">
        <v>74</v>
      </c>
      <c r="R593" t="s">
        <v>74</v>
      </c>
      <c r="S593" t="s">
        <v>74</v>
      </c>
      <c r="T593" t="s">
        <v>74</v>
      </c>
      <c r="U593" t="s">
        <v>74</v>
      </c>
      <c r="V593" t="s">
        <v>74</v>
      </c>
      <c r="W593" t="s">
        <v>7873</v>
      </c>
      <c r="X593" t="s">
        <v>7874</v>
      </c>
      <c r="Y593" t="s">
        <v>7875</v>
      </c>
      <c r="Z593" t="s">
        <v>74</v>
      </c>
      <c r="AA593" t="s">
        <v>7876</v>
      </c>
      <c r="AB593" t="s">
        <v>7877</v>
      </c>
      <c r="AC593" t="s">
        <v>74</v>
      </c>
      <c r="AD593" t="s">
        <v>74</v>
      </c>
      <c r="AE593" t="s">
        <v>74</v>
      </c>
      <c r="AF593" t="s">
        <v>74</v>
      </c>
      <c r="AG593">
        <v>1</v>
      </c>
      <c r="AH593">
        <v>0</v>
      </c>
      <c r="AI593">
        <v>1</v>
      </c>
      <c r="AJ593">
        <v>0</v>
      </c>
      <c r="AK593">
        <v>0</v>
      </c>
      <c r="AL593" t="s">
        <v>849</v>
      </c>
      <c r="AM593" t="s">
        <v>850</v>
      </c>
      <c r="AN593" t="s">
        <v>851</v>
      </c>
      <c r="AO593" t="s">
        <v>852</v>
      </c>
      <c r="AP593" t="s">
        <v>74</v>
      </c>
      <c r="AQ593" t="s">
        <v>74</v>
      </c>
      <c r="AR593" t="s">
        <v>853</v>
      </c>
      <c r="AS593" t="s">
        <v>854</v>
      </c>
      <c r="AT593" t="s">
        <v>7623</v>
      </c>
      <c r="AU593">
        <v>1999</v>
      </c>
      <c r="AV593">
        <v>366</v>
      </c>
      <c r="AW593">
        <v>2</v>
      </c>
      <c r="AX593" t="s">
        <v>74</v>
      </c>
      <c r="AY593" t="s">
        <v>74</v>
      </c>
      <c r="AZ593" t="s">
        <v>74</v>
      </c>
      <c r="BA593" t="s">
        <v>74</v>
      </c>
      <c r="BB593">
        <v>231</v>
      </c>
      <c r="BC593">
        <v>235</v>
      </c>
      <c r="BD593" t="s">
        <v>74</v>
      </c>
      <c r="BE593" t="s">
        <v>74</v>
      </c>
      <c r="BF593" t="s">
        <v>74</v>
      </c>
      <c r="BG593" t="s">
        <v>74</v>
      </c>
      <c r="BH593" t="s">
        <v>74</v>
      </c>
      <c r="BI593">
        <v>5</v>
      </c>
      <c r="BJ593" t="s">
        <v>303</v>
      </c>
      <c r="BK593" t="s">
        <v>96</v>
      </c>
      <c r="BL593" t="s">
        <v>304</v>
      </c>
      <c r="BM593" t="s">
        <v>7878</v>
      </c>
      <c r="BN593" t="s">
        <v>74</v>
      </c>
      <c r="BO593" t="s">
        <v>74</v>
      </c>
      <c r="BP593" t="s">
        <v>74</v>
      </c>
      <c r="BQ593" t="s">
        <v>74</v>
      </c>
      <c r="BR593" t="s">
        <v>99</v>
      </c>
      <c r="BS593" t="s">
        <v>7879</v>
      </c>
      <c r="BT593" t="str">
        <f>HYPERLINK("https%3A%2F%2Fwww.webofscience.com%2Fwos%2Fwoscc%2Ffull-record%2FWOS:000086607800024","View Full Record in Web of Science")</f>
        <v>View Full Record in Web of Science</v>
      </c>
    </row>
    <row r="594" spans="1:72" x14ac:dyDescent="0.15">
      <c r="A594" t="s">
        <v>72</v>
      </c>
      <c r="B594" t="s">
        <v>7880</v>
      </c>
      <c r="C594" t="s">
        <v>74</v>
      </c>
      <c r="D594" t="s">
        <v>74</v>
      </c>
      <c r="E594" t="s">
        <v>74</v>
      </c>
      <c r="F594" t="s">
        <v>7880</v>
      </c>
      <c r="G594" t="s">
        <v>74</v>
      </c>
      <c r="H594" t="s">
        <v>74</v>
      </c>
      <c r="I594" t="s">
        <v>7881</v>
      </c>
      <c r="J594" t="s">
        <v>5358</v>
      </c>
      <c r="K594" t="s">
        <v>74</v>
      </c>
      <c r="L594" t="s">
        <v>74</v>
      </c>
      <c r="M594" t="s">
        <v>77</v>
      </c>
      <c r="N594" t="s">
        <v>78</v>
      </c>
      <c r="O594" t="s">
        <v>74</v>
      </c>
      <c r="P594" t="s">
        <v>74</v>
      </c>
      <c r="Q594" t="s">
        <v>74</v>
      </c>
      <c r="R594" t="s">
        <v>74</v>
      </c>
      <c r="S594" t="s">
        <v>74</v>
      </c>
      <c r="T594" t="s">
        <v>74</v>
      </c>
      <c r="U594" t="s">
        <v>7882</v>
      </c>
      <c r="V594" t="s">
        <v>7883</v>
      </c>
      <c r="W594" t="s">
        <v>7884</v>
      </c>
      <c r="X594" t="s">
        <v>7885</v>
      </c>
      <c r="Y594" t="s">
        <v>7886</v>
      </c>
      <c r="Z594" t="s">
        <v>74</v>
      </c>
      <c r="AA594" t="s">
        <v>7887</v>
      </c>
      <c r="AB594" t="s">
        <v>7888</v>
      </c>
      <c r="AC594" t="s">
        <v>7889</v>
      </c>
      <c r="AD594" t="s">
        <v>7890</v>
      </c>
      <c r="AE594" t="s">
        <v>74</v>
      </c>
      <c r="AF594" t="s">
        <v>74</v>
      </c>
      <c r="AG594">
        <v>39</v>
      </c>
      <c r="AH594">
        <v>41</v>
      </c>
      <c r="AI594">
        <v>47</v>
      </c>
      <c r="AJ594">
        <v>0</v>
      </c>
      <c r="AK594">
        <v>11</v>
      </c>
      <c r="AL594" t="s">
        <v>5362</v>
      </c>
      <c r="AM594" t="s">
        <v>5363</v>
      </c>
      <c r="AN594" t="s">
        <v>5364</v>
      </c>
      <c r="AO594" t="s">
        <v>5365</v>
      </c>
      <c r="AP594" t="s">
        <v>74</v>
      </c>
      <c r="AQ594" t="s">
        <v>74</v>
      </c>
      <c r="AR594" t="s">
        <v>5366</v>
      </c>
      <c r="AS594" t="s">
        <v>5367</v>
      </c>
      <c r="AT594" t="s">
        <v>7623</v>
      </c>
      <c r="AU594">
        <v>1999</v>
      </c>
      <c r="AV594">
        <v>31</v>
      </c>
      <c r="AW594">
        <v>3</v>
      </c>
      <c r="AX594" t="s">
        <v>74</v>
      </c>
      <c r="AY594" t="s">
        <v>74</v>
      </c>
      <c r="AZ594" t="s">
        <v>74</v>
      </c>
      <c r="BA594" t="s">
        <v>74</v>
      </c>
      <c r="BB594">
        <v>299</v>
      </c>
      <c r="BC594">
        <v>337</v>
      </c>
      <c r="BD594" t="s">
        <v>74</v>
      </c>
      <c r="BE594" t="s">
        <v>7891</v>
      </c>
      <c r="BF594" t="str">
        <f>HYPERLINK("http://dx.doi.org/10.1177/0013916599313001","http://dx.doi.org/10.1177/0013916599313001")</f>
        <v>http://dx.doi.org/10.1177/0013916599313001</v>
      </c>
      <c r="BG594" t="s">
        <v>74</v>
      </c>
      <c r="BH594" t="s">
        <v>74</v>
      </c>
      <c r="BI594">
        <v>39</v>
      </c>
      <c r="BJ594" t="s">
        <v>5369</v>
      </c>
      <c r="BK594" t="s">
        <v>1194</v>
      </c>
      <c r="BL594" t="s">
        <v>5370</v>
      </c>
      <c r="BM594" t="s">
        <v>7892</v>
      </c>
      <c r="BN594">
        <v>11542387</v>
      </c>
      <c r="BO594" t="s">
        <v>74</v>
      </c>
      <c r="BP594" t="s">
        <v>74</v>
      </c>
      <c r="BQ594" t="s">
        <v>74</v>
      </c>
      <c r="BR594" t="s">
        <v>99</v>
      </c>
      <c r="BS594" t="s">
        <v>7893</v>
      </c>
      <c r="BT594" t="str">
        <f>HYPERLINK("https%3A%2F%2Fwww.webofscience.com%2Fwos%2Fwoscc%2Ffull-record%2FWOS:000080208800001","View Full Record in Web of Science")</f>
        <v>View Full Record in Web of Science</v>
      </c>
    </row>
    <row r="595" spans="1:72" x14ac:dyDescent="0.15">
      <c r="A595" t="s">
        <v>72</v>
      </c>
      <c r="B595" t="s">
        <v>7894</v>
      </c>
      <c r="C595" t="s">
        <v>74</v>
      </c>
      <c r="D595" t="s">
        <v>74</v>
      </c>
      <c r="E595" t="s">
        <v>74</v>
      </c>
      <c r="F595" t="s">
        <v>7894</v>
      </c>
      <c r="G595" t="s">
        <v>74</v>
      </c>
      <c r="H595" t="s">
        <v>74</v>
      </c>
      <c r="I595" t="s">
        <v>7895</v>
      </c>
      <c r="J595" t="s">
        <v>2020</v>
      </c>
      <c r="K595" t="s">
        <v>74</v>
      </c>
      <c r="L595" t="s">
        <v>74</v>
      </c>
      <c r="M595" t="s">
        <v>77</v>
      </c>
      <c r="N595" t="s">
        <v>78</v>
      </c>
      <c r="O595" t="s">
        <v>74</v>
      </c>
      <c r="P595" t="s">
        <v>74</v>
      </c>
      <c r="Q595" t="s">
        <v>74</v>
      </c>
      <c r="R595" t="s">
        <v>74</v>
      </c>
      <c r="S595" t="s">
        <v>74</v>
      </c>
      <c r="T595" t="s">
        <v>7896</v>
      </c>
      <c r="U595" t="s">
        <v>7897</v>
      </c>
      <c r="V595" t="s">
        <v>7898</v>
      </c>
      <c r="W595" t="s">
        <v>7899</v>
      </c>
      <c r="X595" t="s">
        <v>7900</v>
      </c>
      <c r="Y595" t="s">
        <v>7901</v>
      </c>
      <c r="Z595" t="s">
        <v>74</v>
      </c>
      <c r="AA595" t="s">
        <v>7902</v>
      </c>
      <c r="AB595" t="s">
        <v>7903</v>
      </c>
      <c r="AC595" t="s">
        <v>74</v>
      </c>
      <c r="AD595" t="s">
        <v>74</v>
      </c>
      <c r="AE595" t="s">
        <v>74</v>
      </c>
      <c r="AF595" t="s">
        <v>74</v>
      </c>
      <c r="AG595">
        <v>40</v>
      </c>
      <c r="AH595">
        <v>26</v>
      </c>
      <c r="AI595">
        <v>26</v>
      </c>
      <c r="AJ595">
        <v>0</v>
      </c>
      <c r="AK595">
        <v>1</v>
      </c>
      <c r="AL595" t="s">
        <v>2057</v>
      </c>
      <c r="AM595" t="s">
        <v>554</v>
      </c>
      <c r="AN595" t="s">
        <v>2058</v>
      </c>
      <c r="AO595" t="s">
        <v>2028</v>
      </c>
      <c r="AP595" t="s">
        <v>74</v>
      </c>
      <c r="AQ595" t="s">
        <v>74</v>
      </c>
      <c r="AR595" t="s">
        <v>2030</v>
      </c>
      <c r="AS595" t="s">
        <v>2031</v>
      </c>
      <c r="AT595" t="s">
        <v>7623</v>
      </c>
      <c r="AU595">
        <v>1999</v>
      </c>
      <c r="AV595">
        <v>34</v>
      </c>
      <c r="AW595">
        <v>2</v>
      </c>
      <c r="AX595" t="s">
        <v>74</v>
      </c>
      <c r="AY595" t="s">
        <v>74</v>
      </c>
      <c r="AZ595" t="s">
        <v>74</v>
      </c>
      <c r="BA595" t="s">
        <v>74</v>
      </c>
      <c r="BB595">
        <v>149</v>
      </c>
      <c r="BC595">
        <v>159</v>
      </c>
      <c r="BD595" t="s">
        <v>74</v>
      </c>
      <c r="BE595" t="s">
        <v>7904</v>
      </c>
      <c r="BF595" t="str">
        <f>HYPERLINK("http://dx.doi.org/10.1080/09670269910001736202","http://dx.doi.org/10.1080/09670269910001736202")</f>
        <v>http://dx.doi.org/10.1080/09670269910001736202</v>
      </c>
      <c r="BG595" t="s">
        <v>74</v>
      </c>
      <c r="BH595" t="s">
        <v>74</v>
      </c>
      <c r="BI595">
        <v>11</v>
      </c>
      <c r="BJ595" t="s">
        <v>2033</v>
      </c>
      <c r="BK595" t="s">
        <v>96</v>
      </c>
      <c r="BL595" t="s">
        <v>2033</v>
      </c>
      <c r="BM595" t="s">
        <v>7905</v>
      </c>
      <c r="BN595" t="s">
        <v>74</v>
      </c>
      <c r="BO595" t="s">
        <v>74</v>
      </c>
      <c r="BP595" t="s">
        <v>74</v>
      </c>
      <c r="BQ595" t="s">
        <v>74</v>
      </c>
      <c r="BR595" t="s">
        <v>99</v>
      </c>
      <c r="BS595" t="s">
        <v>7906</v>
      </c>
      <c r="BT595" t="str">
        <f>HYPERLINK("https%3A%2F%2Fwww.webofscience.com%2Fwos%2Fwoscc%2Ffull-record%2FWOS:000081085800006","View Full Record in Web of Science")</f>
        <v>View Full Record in Web of Science</v>
      </c>
    </row>
    <row r="596" spans="1:72" x14ac:dyDescent="0.15">
      <c r="A596" t="s">
        <v>72</v>
      </c>
      <c r="B596" t="s">
        <v>2527</v>
      </c>
      <c r="C596" t="s">
        <v>74</v>
      </c>
      <c r="D596" t="s">
        <v>74</v>
      </c>
      <c r="E596" t="s">
        <v>74</v>
      </c>
      <c r="F596" t="s">
        <v>2527</v>
      </c>
      <c r="G596" t="s">
        <v>74</v>
      </c>
      <c r="H596" t="s">
        <v>74</v>
      </c>
      <c r="I596" t="s">
        <v>7907</v>
      </c>
      <c r="J596" t="s">
        <v>3238</v>
      </c>
      <c r="K596" t="s">
        <v>74</v>
      </c>
      <c r="L596" t="s">
        <v>74</v>
      </c>
      <c r="M596" t="s">
        <v>77</v>
      </c>
      <c r="N596" t="s">
        <v>78</v>
      </c>
      <c r="O596" t="s">
        <v>74</v>
      </c>
      <c r="P596" t="s">
        <v>74</v>
      </c>
      <c r="Q596" t="s">
        <v>74</v>
      </c>
      <c r="R596" t="s">
        <v>74</v>
      </c>
      <c r="S596" t="s">
        <v>74</v>
      </c>
      <c r="T596" t="s">
        <v>7908</v>
      </c>
      <c r="U596" t="s">
        <v>7909</v>
      </c>
      <c r="V596" t="s">
        <v>7910</v>
      </c>
      <c r="W596" t="s">
        <v>7911</v>
      </c>
      <c r="X596" t="s">
        <v>7912</v>
      </c>
      <c r="Y596" t="s">
        <v>7913</v>
      </c>
      <c r="Z596" t="s">
        <v>7914</v>
      </c>
      <c r="AA596" t="s">
        <v>74</v>
      </c>
      <c r="AB596" t="s">
        <v>74</v>
      </c>
      <c r="AC596" t="s">
        <v>74</v>
      </c>
      <c r="AD596" t="s">
        <v>74</v>
      </c>
      <c r="AE596" t="s">
        <v>74</v>
      </c>
      <c r="AF596" t="s">
        <v>74</v>
      </c>
      <c r="AG596">
        <v>65</v>
      </c>
      <c r="AH596">
        <v>62</v>
      </c>
      <c r="AI596">
        <v>66</v>
      </c>
      <c r="AJ596">
        <v>0</v>
      </c>
      <c r="AK596">
        <v>15</v>
      </c>
      <c r="AL596" t="s">
        <v>997</v>
      </c>
      <c r="AM596" t="s">
        <v>998</v>
      </c>
      <c r="AN596" t="s">
        <v>999</v>
      </c>
      <c r="AO596" t="s">
        <v>3248</v>
      </c>
      <c r="AP596" t="s">
        <v>3249</v>
      </c>
      <c r="AQ596" t="s">
        <v>74</v>
      </c>
      <c r="AR596" t="s">
        <v>3250</v>
      </c>
      <c r="AS596" t="s">
        <v>3251</v>
      </c>
      <c r="AT596" t="s">
        <v>7623</v>
      </c>
      <c r="AU596">
        <v>1999</v>
      </c>
      <c r="AV596">
        <v>41</v>
      </c>
      <c r="AW596">
        <v>3</v>
      </c>
      <c r="AX596" t="s">
        <v>74</v>
      </c>
      <c r="AY596" t="s">
        <v>74</v>
      </c>
      <c r="AZ596" t="s">
        <v>74</v>
      </c>
      <c r="BA596" t="s">
        <v>74</v>
      </c>
      <c r="BB596">
        <v>507</v>
      </c>
      <c r="BC596">
        <v>519</v>
      </c>
      <c r="BD596" t="s">
        <v>74</v>
      </c>
      <c r="BE596" t="s">
        <v>7915</v>
      </c>
      <c r="BF596" t="str">
        <f>HYPERLINK("http://dx.doi.org/10.1046/j.1365-2427.1999.00396.x","http://dx.doi.org/10.1046/j.1365-2427.1999.00396.x")</f>
        <v>http://dx.doi.org/10.1046/j.1365-2427.1999.00396.x</v>
      </c>
      <c r="BG596" t="s">
        <v>74</v>
      </c>
      <c r="BH596" t="s">
        <v>74</v>
      </c>
      <c r="BI596">
        <v>13</v>
      </c>
      <c r="BJ596" t="s">
        <v>1703</v>
      </c>
      <c r="BK596" t="s">
        <v>96</v>
      </c>
      <c r="BL596" t="s">
        <v>1704</v>
      </c>
      <c r="BM596" t="s">
        <v>7916</v>
      </c>
      <c r="BN596" t="s">
        <v>74</v>
      </c>
      <c r="BO596" t="s">
        <v>74</v>
      </c>
      <c r="BP596" t="s">
        <v>74</v>
      </c>
      <c r="BQ596" t="s">
        <v>74</v>
      </c>
      <c r="BR596" t="s">
        <v>99</v>
      </c>
      <c r="BS596" t="s">
        <v>7917</v>
      </c>
      <c r="BT596" t="str">
        <f>HYPERLINK("https%3A%2F%2Fwww.webofscience.com%2Fwos%2Fwoscc%2Ffull-record%2FWOS:000081362000003","View Full Record in Web of Science")</f>
        <v>View Full Record in Web of Science</v>
      </c>
    </row>
    <row r="597" spans="1:72" x14ac:dyDescent="0.15">
      <c r="A597" t="s">
        <v>72</v>
      </c>
      <c r="B597" t="s">
        <v>7918</v>
      </c>
      <c r="C597" t="s">
        <v>74</v>
      </c>
      <c r="D597" t="s">
        <v>74</v>
      </c>
      <c r="E597" t="s">
        <v>74</v>
      </c>
      <c r="F597" t="s">
        <v>7918</v>
      </c>
      <c r="G597" t="s">
        <v>74</v>
      </c>
      <c r="H597" t="s">
        <v>74</v>
      </c>
      <c r="I597" t="s">
        <v>7919</v>
      </c>
      <c r="J597" t="s">
        <v>3285</v>
      </c>
      <c r="K597" t="s">
        <v>74</v>
      </c>
      <c r="L597" t="s">
        <v>74</v>
      </c>
      <c r="M597" t="s">
        <v>845</v>
      </c>
      <c r="N597" t="s">
        <v>78</v>
      </c>
      <c r="O597" t="s">
        <v>74</v>
      </c>
      <c r="P597" t="s">
        <v>74</v>
      </c>
      <c r="Q597" t="s">
        <v>74</v>
      </c>
      <c r="R597" t="s">
        <v>74</v>
      </c>
      <c r="S597" t="s">
        <v>74</v>
      </c>
      <c r="T597" t="s">
        <v>74</v>
      </c>
      <c r="U597" t="s">
        <v>7920</v>
      </c>
      <c r="V597" t="s">
        <v>74</v>
      </c>
      <c r="W597" t="s">
        <v>846</v>
      </c>
      <c r="X597" t="s">
        <v>847</v>
      </c>
      <c r="Y597" t="s">
        <v>7921</v>
      </c>
      <c r="Z597" t="s">
        <v>74</v>
      </c>
      <c r="AA597" t="s">
        <v>7922</v>
      </c>
      <c r="AB597" t="s">
        <v>7923</v>
      </c>
      <c r="AC597" t="s">
        <v>74</v>
      </c>
      <c r="AD597" t="s">
        <v>74</v>
      </c>
      <c r="AE597" t="s">
        <v>74</v>
      </c>
      <c r="AF597" t="s">
        <v>74</v>
      </c>
      <c r="AG597">
        <v>23</v>
      </c>
      <c r="AH597">
        <v>4</v>
      </c>
      <c r="AI597">
        <v>4</v>
      </c>
      <c r="AJ597">
        <v>0</v>
      </c>
      <c r="AK597">
        <v>0</v>
      </c>
      <c r="AL597" t="s">
        <v>849</v>
      </c>
      <c r="AM597" t="s">
        <v>850</v>
      </c>
      <c r="AN597" t="s">
        <v>851</v>
      </c>
      <c r="AO597" t="s">
        <v>3287</v>
      </c>
      <c r="AP597" t="s">
        <v>74</v>
      </c>
      <c r="AQ597" t="s">
        <v>74</v>
      </c>
      <c r="AR597" t="s">
        <v>3288</v>
      </c>
      <c r="AS597" t="s">
        <v>3289</v>
      </c>
      <c r="AT597" t="s">
        <v>7924</v>
      </c>
      <c r="AU597">
        <v>1999</v>
      </c>
      <c r="AV597">
        <v>39</v>
      </c>
      <c r="AW597">
        <v>3</v>
      </c>
      <c r="AX597" t="s">
        <v>74</v>
      </c>
      <c r="AY597" t="s">
        <v>74</v>
      </c>
      <c r="AZ597" t="s">
        <v>74</v>
      </c>
      <c r="BA597" t="s">
        <v>74</v>
      </c>
      <c r="BB597">
        <v>62</v>
      </c>
      <c r="BC597">
        <v>68</v>
      </c>
      <c r="BD597" t="s">
        <v>74</v>
      </c>
      <c r="BE597" t="s">
        <v>74</v>
      </c>
      <c r="BF597" t="s">
        <v>74</v>
      </c>
      <c r="BG597" t="s">
        <v>74</v>
      </c>
      <c r="BH597" t="s">
        <v>74</v>
      </c>
      <c r="BI597">
        <v>7</v>
      </c>
      <c r="BJ597" t="s">
        <v>216</v>
      </c>
      <c r="BK597" t="s">
        <v>96</v>
      </c>
      <c r="BL597" t="s">
        <v>216</v>
      </c>
      <c r="BM597" t="s">
        <v>7925</v>
      </c>
      <c r="BN597" t="s">
        <v>74</v>
      </c>
      <c r="BO597" t="s">
        <v>74</v>
      </c>
      <c r="BP597" t="s">
        <v>74</v>
      </c>
      <c r="BQ597" t="s">
        <v>74</v>
      </c>
      <c r="BR597" t="s">
        <v>99</v>
      </c>
      <c r="BS597" t="s">
        <v>7926</v>
      </c>
      <c r="BT597" t="str">
        <f>HYPERLINK("https%3A%2F%2Fwww.webofscience.com%2Fwos%2Fwoscc%2Ffull-record%2FWOS:000081875000008","View Full Record in Web of Science")</f>
        <v>View Full Record in Web of Science</v>
      </c>
    </row>
    <row r="598" spans="1:72" x14ac:dyDescent="0.15">
      <c r="A598" t="s">
        <v>72</v>
      </c>
      <c r="B598" t="s">
        <v>7927</v>
      </c>
      <c r="C598" t="s">
        <v>74</v>
      </c>
      <c r="D598" t="s">
        <v>74</v>
      </c>
      <c r="E598" t="s">
        <v>74</v>
      </c>
      <c r="F598" t="s">
        <v>7927</v>
      </c>
      <c r="G598" t="s">
        <v>74</v>
      </c>
      <c r="H598" t="s">
        <v>74</v>
      </c>
      <c r="I598" t="s">
        <v>7928</v>
      </c>
      <c r="J598" t="s">
        <v>3285</v>
      </c>
      <c r="K598" t="s">
        <v>74</v>
      </c>
      <c r="L598" t="s">
        <v>74</v>
      </c>
      <c r="M598" t="s">
        <v>845</v>
      </c>
      <c r="N598" t="s">
        <v>78</v>
      </c>
      <c r="O598" t="s">
        <v>74</v>
      </c>
      <c r="P598" t="s">
        <v>74</v>
      </c>
      <c r="Q598" t="s">
        <v>74</v>
      </c>
      <c r="R598" t="s">
        <v>74</v>
      </c>
      <c r="S598" t="s">
        <v>74</v>
      </c>
      <c r="T598" t="s">
        <v>74</v>
      </c>
      <c r="U598" t="s">
        <v>7929</v>
      </c>
      <c r="V598" t="s">
        <v>74</v>
      </c>
      <c r="W598" t="s">
        <v>846</v>
      </c>
      <c r="X598" t="s">
        <v>847</v>
      </c>
      <c r="Y598" t="s">
        <v>7930</v>
      </c>
      <c r="Z598" t="s">
        <v>74</v>
      </c>
      <c r="AA598" t="s">
        <v>74</v>
      </c>
      <c r="AB598" t="s">
        <v>74</v>
      </c>
      <c r="AC598" t="s">
        <v>74</v>
      </c>
      <c r="AD598" t="s">
        <v>74</v>
      </c>
      <c r="AE598" t="s">
        <v>74</v>
      </c>
      <c r="AF598" t="s">
        <v>74</v>
      </c>
      <c r="AG598">
        <v>66</v>
      </c>
      <c r="AH598">
        <v>3</v>
      </c>
      <c r="AI598">
        <v>3</v>
      </c>
      <c r="AJ598">
        <v>0</v>
      </c>
      <c r="AK598">
        <v>0</v>
      </c>
      <c r="AL598" t="s">
        <v>849</v>
      </c>
      <c r="AM598" t="s">
        <v>850</v>
      </c>
      <c r="AN598" t="s">
        <v>851</v>
      </c>
      <c r="AO598" t="s">
        <v>3287</v>
      </c>
      <c r="AP598" t="s">
        <v>74</v>
      </c>
      <c r="AQ598" t="s">
        <v>74</v>
      </c>
      <c r="AR598" t="s">
        <v>3288</v>
      </c>
      <c r="AS598" t="s">
        <v>3289</v>
      </c>
      <c r="AT598" t="s">
        <v>7924</v>
      </c>
      <c r="AU598">
        <v>1999</v>
      </c>
      <c r="AV598">
        <v>39</v>
      </c>
      <c r="AW598">
        <v>3</v>
      </c>
      <c r="AX598" t="s">
        <v>74</v>
      </c>
      <c r="AY598" t="s">
        <v>74</v>
      </c>
      <c r="AZ598" t="s">
        <v>74</v>
      </c>
      <c r="BA598" t="s">
        <v>74</v>
      </c>
      <c r="BB598">
        <v>88</v>
      </c>
      <c r="BC598">
        <v>100</v>
      </c>
      <c r="BD598" t="s">
        <v>74</v>
      </c>
      <c r="BE598" t="s">
        <v>74</v>
      </c>
      <c r="BF598" t="s">
        <v>74</v>
      </c>
      <c r="BG598" t="s">
        <v>74</v>
      </c>
      <c r="BH598" t="s">
        <v>74</v>
      </c>
      <c r="BI598">
        <v>13</v>
      </c>
      <c r="BJ598" t="s">
        <v>216</v>
      </c>
      <c r="BK598" t="s">
        <v>96</v>
      </c>
      <c r="BL598" t="s">
        <v>216</v>
      </c>
      <c r="BM598" t="s">
        <v>7925</v>
      </c>
      <c r="BN598" t="s">
        <v>74</v>
      </c>
      <c r="BO598" t="s">
        <v>74</v>
      </c>
      <c r="BP598" t="s">
        <v>74</v>
      </c>
      <c r="BQ598" t="s">
        <v>74</v>
      </c>
      <c r="BR598" t="s">
        <v>99</v>
      </c>
      <c r="BS598" t="s">
        <v>7931</v>
      </c>
      <c r="BT598" t="str">
        <f>HYPERLINK("https%3A%2F%2Fwww.webofscience.com%2Fwos%2Fwoscc%2Ffull-record%2FWOS:000081875000012","View Full Record in Web of Science")</f>
        <v>View Full Record in Web of Science</v>
      </c>
    </row>
    <row r="599" spans="1:72" x14ac:dyDescent="0.15">
      <c r="A599" t="s">
        <v>72</v>
      </c>
      <c r="B599" t="s">
        <v>3283</v>
      </c>
      <c r="C599" t="s">
        <v>74</v>
      </c>
      <c r="D599" t="s">
        <v>74</v>
      </c>
      <c r="E599" t="s">
        <v>74</v>
      </c>
      <c r="F599" t="s">
        <v>3283</v>
      </c>
      <c r="G599" t="s">
        <v>74</v>
      </c>
      <c r="H599" t="s">
        <v>74</v>
      </c>
      <c r="I599" t="s">
        <v>7932</v>
      </c>
      <c r="J599" t="s">
        <v>3285</v>
      </c>
      <c r="K599" t="s">
        <v>74</v>
      </c>
      <c r="L599" t="s">
        <v>74</v>
      </c>
      <c r="M599" t="s">
        <v>845</v>
      </c>
      <c r="N599" t="s">
        <v>78</v>
      </c>
      <c r="O599" t="s">
        <v>74</v>
      </c>
      <c r="P599" t="s">
        <v>74</v>
      </c>
      <c r="Q599" t="s">
        <v>74</v>
      </c>
      <c r="R599" t="s">
        <v>74</v>
      </c>
      <c r="S599" t="s">
        <v>74</v>
      </c>
      <c r="T599" t="s">
        <v>74</v>
      </c>
      <c r="U599" t="s">
        <v>7933</v>
      </c>
      <c r="V599" t="s">
        <v>74</v>
      </c>
      <c r="W599" t="s">
        <v>846</v>
      </c>
      <c r="X599" t="s">
        <v>847</v>
      </c>
      <c r="Y599" t="s">
        <v>3286</v>
      </c>
      <c r="Z599" t="s">
        <v>74</v>
      </c>
      <c r="AA599" t="s">
        <v>74</v>
      </c>
      <c r="AB599" t="s">
        <v>74</v>
      </c>
      <c r="AC599" t="s">
        <v>74</v>
      </c>
      <c r="AD599" t="s">
        <v>74</v>
      </c>
      <c r="AE599" t="s">
        <v>74</v>
      </c>
      <c r="AF599" t="s">
        <v>74</v>
      </c>
      <c r="AG599">
        <v>8</v>
      </c>
      <c r="AH599">
        <v>0</v>
      </c>
      <c r="AI599">
        <v>2</v>
      </c>
      <c r="AJ599">
        <v>0</v>
      </c>
      <c r="AK599">
        <v>0</v>
      </c>
      <c r="AL599" t="s">
        <v>849</v>
      </c>
      <c r="AM599" t="s">
        <v>850</v>
      </c>
      <c r="AN599" t="s">
        <v>851</v>
      </c>
      <c r="AO599" t="s">
        <v>3287</v>
      </c>
      <c r="AP599" t="s">
        <v>74</v>
      </c>
      <c r="AQ599" t="s">
        <v>74</v>
      </c>
      <c r="AR599" t="s">
        <v>3288</v>
      </c>
      <c r="AS599" t="s">
        <v>3289</v>
      </c>
      <c r="AT599" t="s">
        <v>7924</v>
      </c>
      <c r="AU599">
        <v>1999</v>
      </c>
      <c r="AV599">
        <v>39</v>
      </c>
      <c r="AW599">
        <v>3</v>
      </c>
      <c r="AX599" t="s">
        <v>74</v>
      </c>
      <c r="AY599" t="s">
        <v>74</v>
      </c>
      <c r="AZ599" t="s">
        <v>74</v>
      </c>
      <c r="BA599" t="s">
        <v>74</v>
      </c>
      <c r="BB599">
        <v>111</v>
      </c>
      <c r="BC599">
        <v>114</v>
      </c>
      <c r="BD599" t="s">
        <v>74</v>
      </c>
      <c r="BE599" t="s">
        <v>74</v>
      </c>
      <c r="BF599" t="s">
        <v>74</v>
      </c>
      <c r="BG599" t="s">
        <v>74</v>
      </c>
      <c r="BH599" t="s">
        <v>74</v>
      </c>
      <c r="BI599">
        <v>4</v>
      </c>
      <c r="BJ599" t="s">
        <v>216</v>
      </c>
      <c r="BK599" t="s">
        <v>96</v>
      </c>
      <c r="BL599" t="s">
        <v>216</v>
      </c>
      <c r="BM599" t="s">
        <v>7925</v>
      </c>
      <c r="BN599" t="s">
        <v>74</v>
      </c>
      <c r="BO599" t="s">
        <v>74</v>
      </c>
      <c r="BP599" t="s">
        <v>74</v>
      </c>
      <c r="BQ599" t="s">
        <v>74</v>
      </c>
      <c r="BR599" t="s">
        <v>99</v>
      </c>
      <c r="BS599" t="s">
        <v>7934</v>
      </c>
      <c r="BT599" t="str">
        <f>HYPERLINK("https%3A%2F%2Fwww.webofscience.com%2Fwos%2Fwoscc%2Ffull-record%2FWOS:000081875000015","View Full Record in Web of Science")</f>
        <v>View Full Record in Web of Science</v>
      </c>
    </row>
    <row r="600" spans="1:72" x14ac:dyDescent="0.15">
      <c r="A600" t="s">
        <v>72</v>
      </c>
      <c r="B600" t="s">
        <v>7935</v>
      </c>
      <c r="C600" t="s">
        <v>74</v>
      </c>
      <c r="D600" t="s">
        <v>74</v>
      </c>
      <c r="E600" t="s">
        <v>74</v>
      </c>
      <c r="F600" t="s">
        <v>7935</v>
      </c>
      <c r="G600" t="s">
        <v>74</v>
      </c>
      <c r="H600" t="s">
        <v>74</v>
      </c>
      <c r="I600" t="s">
        <v>7936</v>
      </c>
      <c r="J600" t="s">
        <v>378</v>
      </c>
      <c r="K600" t="s">
        <v>74</v>
      </c>
      <c r="L600" t="s">
        <v>74</v>
      </c>
      <c r="M600" t="s">
        <v>77</v>
      </c>
      <c r="N600" t="s">
        <v>78</v>
      </c>
      <c r="O600" t="s">
        <v>74</v>
      </c>
      <c r="P600" t="s">
        <v>74</v>
      </c>
      <c r="Q600" t="s">
        <v>74</v>
      </c>
      <c r="R600" t="s">
        <v>74</v>
      </c>
      <c r="S600" t="s">
        <v>74</v>
      </c>
      <c r="T600" t="s">
        <v>74</v>
      </c>
      <c r="U600" t="s">
        <v>7937</v>
      </c>
      <c r="V600" t="s">
        <v>7938</v>
      </c>
      <c r="W600" t="s">
        <v>2773</v>
      </c>
      <c r="X600" t="s">
        <v>2774</v>
      </c>
      <c r="Y600" t="s">
        <v>7939</v>
      </c>
      <c r="Z600" t="s">
        <v>74</v>
      </c>
      <c r="AA600" t="s">
        <v>74</v>
      </c>
      <c r="AB600" t="s">
        <v>74</v>
      </c>
      <c r="AC600" t="s">
        <v>74</v>
      </c>
      <c r="AD600" t="s">
        <v>74</v>
      </c>
      <c r="AE600" t="s">
        <v>74</v>
      </c>
      <c r="AF600" t="s">
        <v>74</v>
      </c>
      <c r="AG600">
        <v>14</v>
      </c>
      <c r="AH600">
        <v>9</v>
      </c>
      <c r="AI600">
        <v>9</v>
      </c>
      <c r="AJ600">
        <v>0</v>
      </c>
      <c r="AK600">
        <v>2</v>
      </c>
      <c r="AL600" t="s">
        <v>230</v>
      </c>
      <c r="AM600" t="s">
        <v>231</v>
      </c>
      <c r="AN600" t="s">
        <v>232</v>
      </c>
      <c r="AO600" t="s">
        <v>382</v>
      </c>
      <c r="AP600" t="s">
        <v>74</v>
      </c>
      <c r="AQ600" t="s">
        <v>74</v>
      </c>
      <c r="AR600" t="s">
        <v>383</v>
      </c>
      <c r="AS600" t="s">
        <v>384</v>
      </c>
      <c r="AT600" t="s">
        <v>7940</v>
      </c>
      <c r="AU600">
        <v>1999</v>
      </c>
      <c r="AV600">
        <v>26</v>
      </c>
      <c r="AW600">
        <v>9</v>
      </c>
      <c r="AX600" t="s">
        <v>74</v>
      </c>
      <c r="AY600" t="s">
        <v>74</v>
      </c>
      <c r="AZ600" t="s">
        <v>74</v>
      </c>
      <c r="BA600" t="s">
        <v>74</v>
      </c>
      <c r="BB600">
        <v>1263</v>
      </c>
      <c r="BC600">
        <v>1266</v>
      </c>
      <c r="BD600" t="s">
        <v>74</v>
      </c>
      <c r="BE600" t="s">
        <v>7941</v>
      </c>
      <c r="BF600" t="str">
        <f>HYPERLINK("http://dx.doi.org/10.1029/1999GL900217","http://dx.doi.org/10.1029/1999GL900217")</f>
        <v>http://dx.doi.org/10.1029/1999GL900217</v>
      </c>
      <c r="BG600" t="s">
        <v>74</v>
      </c>
      <c r="BH600" t="s">
        <v>74</v>
      </c>
      <c r="BI600">
        <v>4</v>
      </c>
      <c r="BJ600" t="s">
        <v>387</v>
      </c>
      <c r="BK600" t="s">
        <v>96</v>
      </c>
      <c r="BL600" t="s">
        <v>388</v>
      </c>
      <c r="BM600" t="s">
        <v>7942</v>
      </c>
      <c r="BN600" t="s">
        <v>74</v>
      </c>
      <c r="BO600" t="s">
        <v>250</v>
      </c>
      <c r="BP600" t="s">
        <v>74</v>
      </c>
      <c r="BQ600" t="s">
        <v>74</v>
      </c>
      <c r="BR600" t="s">
        <v>99</v>
      </c>
      <c r="BS600" t="s">
        <v>7943</v>
      </c>
      <c r="BT600" t="str">
        <f>HYPERLINK("https%3A%2F%2Fwww.webofscience.com%2Fwos%2Fwoscc%2Ffull-record%2FWOS:000080122900020","View Full Record in Web of Science")</f>
        <v>View Full Record in Web of Science</v>
      </c>
    </row>
    <row r="601" spans="1:72" x14ac:dyDescent="0.15">
      <c r="A601" t="s">
        <v>72</v>
      </c>
      <c r="B601" t="s">
        <v>7944</v>
      </c>
      <c r="C601" t="s">
        <v>74</v>
      </c>
      <c r="D601" t="s">
        <v>74</v>
      </c>
      <c r="E601" t="s">
        <v>74</v>
      </c>
      <c r="F601" t="s">
        <v>7944</v>
      </c>
      <c r="G601" t="s">
        <v>74</v>
      </c>
      <c r="H601" t="s">
        <v>74</v>
      </c>
      <c r="I601" t="s">
        <v>7945</v>
      </c>
      <c r="J601" t="s">
        <v>7946</v>
      </c>
      <c r="K601" t="s">
        <v>74</v>
      </c>
      <c r="L601" t="s">
        <v>74</v>
      </c>
      <c r="M601" t="s">
        <v>77</v>
      </c>
      <c r="N601" t="s">
        <v>123</v>
      </c>
      <c r="O601" t="s">
        <v>7947</v>
      </c>
      <c r="P601">
        <v>1997</v>
      </c>
      <c r="Q601" t="s">
        <v>7948</v>
      </c>
      <c r="R601" t="s">
        <v>74</v>
      </c>
      <c r="S601" t="s">
        <v>74</v>
      </c>
      <c r="T601" t="s">
        <v>7949</v>
      </c>
      <c r="U601" t="s">
        <v>7950</v>
      </c>
      <c r="V601" t="s">
        <v>7951</v>
      </c>
      <c r="W601" t="s">
        <v>7952</v>
      </c>
      <c r="X601" t="s">
        <v>7953</v>
      </c>
      <c r="Y601" t="s">
        <v>7954</v>
      </c>
      <c r="Z601" t="s">
        <v>7955</v>
      </c>
      <c r="AA601" t="s">
        <v>74</v>
      </c>
      <c r="AB601" t="s">
        <v>74</v>
      </c>
      <c r="AC601" t="s">
        <v>74</v>
      </c>
      <c r="AD601" t="s">
        <v>74</v>
      </c>
      <c r="AE601" t="s">
        <v>74</v>
      </c>
      <c r="AF601" t="s">
        <v>74</v>
      </c>
      <c r="AG601">
        <v>57</v>
      </c>
      <c r="AH601">
        <v>51</v>
      </c>
      <c r="AI601">
        <v>63</v>
      </c>
      <c r="AJ601">
        <v>1</v>
      </c>
      <c r="AK601">
        <v>19</v>
      </c>
      <c r="AL601" t="s">
        <v>705</v>
      </c>
      <c r="AM601" t="s">
        <v>5269</v>
      </c>
      <c r="AN601" t="s">
        <v>5270</v>
      </c>
      <c r="AO601" t="s">
        <v>7956</v>
      </c>
      <c r="AP601" t="s">
        <v>7957</v>
      </c>
      <c r="AQ601" t="s">
        <v>74</v>
      </c>
      <c r="AR601" t="s">
        <v>7946</v>
      </c>
      <c r="AS601" t="s">
        <v>7958</v>
      </c>
      <c r="AT601" t="s">
        <v>7623</v>
      </c>
      <c r="AU601">
        <v>1999</v>
      </c>
      <c r="AV601">
        <v>401</v>
      </c>
      <c r="AW601" t="s">
        <v>74</v>
      </c>
      <c r="AX601" t="s">
        <v>74</v>
      </c>
      <c r="AY601" t="s">
        <v>74</v>
      </c>
      <c r="AZ601" t="s">
        <v>74</v>
      </c>
      <c r="BA601" t="s">
        <v>74</v>
      </c>
      <c r="BB601">
        <v>113</v>
      </c>
      <c r="BC601">
        <v>130</v>
      </c>
      <c r="BD601" t="s">
        <v>74</v>
      </c>
      <c r="BE601" t="s">
        <v>7959</v>
      </c>
      <c r="BF601" t="str">
        <f>HYPERLINK("http://dx.doi.org/10.1023/A:1003754830988","http://dx.doi.org/10.1023/A:1003754830988")</f>
        <v>http://dx.doi.org/10.1023/A:1003754830988</v>
      </c>
      <c r="BG601" t="s">
        <v>74</v>
      </c>
      <c r="BH601" t="s">
        <v>74</v>
      </c>
      <c r="BI601">
        <v>18</v>
      </c>
      <c r="BJ601" t="s">
        <v>1229</v>
      </c>
      <c r="BK601" t="s">
        <v>156</v>
      </c>
      <c r="BL601" t="s">
        <v>1229</v>
      </c>
      <c r="BM601" t="s">
        <v>7960</v>
      </c>
      <c r="BN601" t="s">
        <v>74</v>
      </c>
      <c r="BO601" t="s">
        <v>74</v>
      </c>
      <c r="BP601" t="s">
        <v>74</v>
      </c>
      <c r="BQ601" t="s">
        <v>74</v>
      </c>
      <c r="BR601" t="s">
        <v>99</v>
      </c>
      <c r="BS601" t="s">
        <v>7961</v>
      </c>
      <c r="BT601" t="str">
        <f>HYPERLINK("https%3A%2F%2Fwww.webofscience.com%2Fwos%2Fwoscc%2Ffull-record%2FWOS:000083276500010","View Full Record in Web of Science")</f>
        <v>View Full Record in Web of Science</v>
      </c>
    </row>
    <row r="602" spans="1:72" x14ac:dyDescent="0.15">
      <c r="A602" t="s">
        <v>72</v>
      </c>
      <c r="B602" t="s">
        <v>7962</v>
      </c>
      <c r="C602" t="s">
        <v>74</v>
      </c>
      <c r="D602" t="s">
        <v>74</v>
      </c>
      <c r="E602" t="s">
        <v>74</v>
      </c>
      <c r="F602" t="s">
        <v>7962</v>
      </c>
      <c r="G602" t="s">
        <v>74</v>
      </c>
      <c r="H602" t="s">
        <v>74</v>
      </c>
      <c r="I602" t="s">
        <v>7963</v>
      </c>
      <c r="J602" t="s">
        <v>7964</v>
      </c>
      <c r="K602" t="s">
        <v>74</v>
      </c>
      <c r="L602" t="s">
        <v>74</v>
      </c>
      <c r="M602" t="s">
        <v>77</v>
      </c>
      <c r="N602" t="s">
        <v>78</v>
      </c>
      <c r="O602" t="s">
        <v>74</v>
      </c>
      <c r="P602" t="s">
        <v>74</v>
      </c>
      <c r="Q602" t="s">
        <v>74</v>
      </c>
      <c r="R602" t="s">
        <v>74</v>
      </c>
      <c r="S602" t="s">
        <v>74</v>
      </c>
      <c r="T602" t="s">
        <v>74</v>
      </c>
      <c r="U602" t="s">
        <v>74</v>
      </c>
      <c r="V602" t="s">
        <v>74</v>
      </c>
      <c r="W602" t="s">
        <v>7965</v>
      </c>
      <c r="X602" t="s">
        <v>7966</v>
      </c>
      <c r="Y602" t="s">
        <v>7967</v>
      </c>
      <c r="Z602" t="s">
        <v>74</v>
      </c>
      <c r="AA602" t="s">
        <v>74</v>
      </c>
      <c r="AB602" t="s">
        <v>74</v>
      </c>
      <c r="AC602" t="s">
        <v>74</v>
      </c>
      <c r="AD602" t="s">
        <v>74</v>
      </c>
      <c r="AE602" t="s">
        <v>74</v>
      </c>
      <c r="AF602" t="s">
        <v>74</v>
      </c>
      <c r="AG602">
        <v>0</v>
      </c>
      <c r="AH602">
        <v>6</v>
      </c>
      <c r="AI602">
        <v>6</v>
      </c>
      <c r="AJ602">
        <v>0</v>
      </c>
      <c r="AK602">
        <v>0</v>
      </c>
      <c r="AL602" t="s">
        <v>7968</v>
      </c>
      <c r="AM602" t="s">
        <v>554</v>
      </c>
      <c r="AN602" t="s">
        <v>7969</v>
      </c>
      <c r="AO602" t="s">
        <v>7970</v>
      </c>
      <c r="AP602" t="s">
        <v>74</v>
      </c>
      <c r="AQ602" t="s">
        <v>74</v>
      </c>
      <c r="AR602" t="s">
        <v>7971</v>
      </c>
      <c r="AS602" t="s">
        <v>7972</v>
      </c>
      <c r="AT602" t="s">
        <v>7623</v>
      </c>
      <c r="AU602">
        <v>1999</v>
      </c>
      <c r="AV602">
        <v>14</v>
      </c>
      <c r="AW602">
        <v>5</v>
      </c>
      <c r="AX602" t="s">
        <v>74</v>
      </c>
      <c r="AY602" t="s">
        <v>74</v>
      </c>
      <c r="AZ602" t="s">
        <v>74</v>
      </c>
      <c r="BA602" t="s">
        <v>74</v>
      </c>
      <c r="BB602">
        <v>3</v>
      </c>
      <c r="BC602">
        <v>5</v>
      </c>
      <c r="BD602" t="s">
        <v>74</v>
      </c>
      <c r="BE602" t="s">
        <v>7973</v>
      </c>
      <c r="BF602" t="str">
        <f>HYPERLINK("http://dx.doi.org/10.1109/62.765771","http://dx.doi.org/10.1109/62.765771")</f>
        <v>http://dx.doi.org/10.1109/62.765771</v>
      </c>
      <c r="BG602" t="s">
        <v>74</v>
      </c>
      <c r="BH602" t="s">
        <v>74</v>
      </c>
      <c r="BI602">
        <v>3</v>
      </c>
      <c r="BJ602" t="s">
        <v>7974</v>
      </c>
      <c r="BK602" t="s">
        <v>96</v>
      </c>
      <c r="BL602" t="s">
        <v>7975</v>
      </c>
      <c r="BM602" t="s">
        <v>7976</v>
      </c>
      <c r="BN602" t="s">
        <v>74</v>
      </c>
      <c r="BO602" t="s">
        <v>74</v>
      </c>
      <c r="BP602" t="s">
        <v>74</v>
      </c>
      <c r="BQ602" t="s">
        <v>74</v>
      </c>
      <c r="BR602" t="s">
        <v>99</v>
      </c>
      <c r="BS602" t="s">
        <v>7977</v>
      </c>
      <c r="BT602" t="str">
        <f>HYPERLINK("https%3A%2F%2Fwww.webofscience.com%2Fwos%2Fwoscc%2Ffull-record%2FWOS:000080275600003","View Full Record in Web of Science")</f>
        <v>View Full Record in Web of Science</v>
      </c>
    </row>
    <row r="603" spans="1:72" x14ac:dyDescent="0.15">
      <c r="A603" t="s">
        <v>72</v>
      </c>
      <c r="B603" t="s">
        <v>7978</v>
      </c>
      <c r="C603" t="s">
        <v>74</v>
      </c>
      <c r="D603" t="s">
        <v>74</v>
      </c>
      <c r="E603" t="s">
        <v>74</v>
      </c>
      <c r="F603" t="s">
        <v>7978</v>
      </c>
      <c r="G603" t="s">
        <v>74</v>
      </c>
      <c r="H603" t="s">
        <v>74</v>
      </c>
      <c r="I603" t="s">
        <v>7979</v>
      </c>
      <c r="J603" t="s">
        <v>1012</v>
      </c>
      <c r="K603" t="s">
        <v>74</v>
      </c>
      <c r="L603" t="s">
        <v>74</v>
      </c>
      <c r="M603" t="s">
        <v>845</v>
      </c>
      <c r="N603" t="s">
        <v>78</v>
      </c>
      <c r="O603" t="s">
        <v>74</v>
      </c>
      <c r="P603" t="s">
        <v>74</v>
      </c>
      <c r="Q603" t="s">
        <v>74</v>
      </c>
      <c r="R603" t="s">
        <v>74</v>
      </c>
      <c r="S603" t="s">
        <v>74</v>
      </c>
      <c r="T603" t="s">
        <v>74</v>
      </c>
      <c r="U603" t="s">
        <v>7980</v>
      </c>
      <c r="V603" t="s">
        <v>7981</v>
      </c>
      <c r="W603" t="s">
        <v>7982</v>
      </c>
      <c r="X603" t="s">
        <v>7983</v>
      </c>
      <c r="Y603" t="s">
        <v>7984</v>
      </c>
      <c r="Z603" t="s">
        <v>74</v>
      </c>
      <c r="AA603" t="s">
        <v>74</v>
      </c>
      <c r="AB603" t="s">
        <v>74</v>
      </c>
      <c r="AC603" t="s">
        <v>74</v>
      </c>
      <c r="AD603" t="s">
        <v>74</v>
      </c>
      <c r="AE603" t="s">
        <v>74</v>
      </c>
      <c r="AF603" t="s">
        <v>74</v>
      </c>
      <c r="AG603">
        <v>37</v>
      </c>
      <c r="AH603">
        <v>3</v>
      </c>
      <c r="AI603">
        <v>4</v>
      </c>
      <c r="AJ603">
        <v>0</v>
      </c>
      <c r="AK603">
        <v>0</v>
      </c>
      <c r="AL603" t="s">
        <v>849</v>
      </c>
      <c r="AM603" t="s">
        <v>850</v>
      </c>
      <c r="AN603" t="s">
        <v>851</v>
      </c>
      <c r="AO603" t="s">
        <v>1019</v>
      </c>
      <c r="AP603" t="s">
        <v>74</v>
      </c>
      <c r="AQ603" t="s">
        <v>74</v>
      </c>
      <c r="AR603" t="s">
        <v>1020</v>
      </c>
      <c r="AS603" t="s">
        <v>1021</v>
      </c>
      <c r="AT603" t="s">
        <v>7924</v>
      </c>
      <c r="AU603">
        <v>1999</v>
      </c>
      <c r="AV603">
        <v>35</v>
      </c>
      <c r="AW603">
        <v>3</v>
      </c>
      <c r="AX603" t="s">
        <v>74</v>
      </c>
      <c r="AY603" t="s">
        <v>74</v>
      </c>
      <c r="AZ603" t="s">
        <v>74</v>
      </c>
      <c r="BA603" t="s">
        <v>74</v>
      </c>
      <c r="BB603">
        <v>371</v>
      </c>
      <c r="BC603">
        <v>398</v>
      </c>
      <c r="BD603" t="s">
        <v>74</v>
      </c>
      <c r="BE603" t="s">
        <v>74</v>
      </c>
      <c r="BF603" t="s">
        <v>74</v>
      </c>
      <c r="BG603" t="s">
        <v>74</v>
      </c>
      <c r="BH603" t="s">
        <v>74</v>
      </c>
      <c r="BI603">
        <v>28</v>
      </c>
      <c r="BJ603" t="s">
        <v>1022</v>
      </c>
      <c r="BK603" t="s">
        <v>96</v>
      </c>
      <c r="BL603" t="s">
        <v>1022</v>
      </c>
      <c r="BM603" t="s">
        <v>7985</v>
      </c>
      <c r="BN603" t="s">
        <v>74</v>
      </c>
      <c r="BO603" t="s">
        <v>74</v>
      </c>
      <c r="BP603" t="s">
        <v>74</v>
      </c>
      <c r="BQ603" t="s">
        <v>74</v>
      </c>
      <c r="BR603" t="s">
        <v>99</v>
      </c>
      <c r="BS603" t="s">
        <v>7986</v>
      </c>
      <c r="BT603" t="str">
        <f>HYPERLINK("https%3A%2F%2Fwww.webofscience.com%2Fwos%2Fwoscc%2Ffull-record%2FWOS:000081476000009","View Full Record in Web of Science")</f>
        <v>View Full Record in Web of Science</v>
      </c>
    </row>
    <row r="604" spans="1:72" x14ac:dyDescent="0.15">
      <c r="A604" t="s">
        <v>72</v>
      </c>
      <c r="B604" t="s">
        <v>7987</v>
      </c>
      <c r="C604" t="s">
        <v>74</v>
      </c>
      <c r="D604" t="s">
        <v>74</v>
      </c>
      <c r="E604" t="s">
        <v>74</v>
      </c>
      <c r="F604" t="s">
        <v>7987</v>
      </c>
      <c r="G604" t="s">
        <v>74</v>
      </c>
      <c r="H604" t="s">
        <v>74</v>
      </c>
      <c r="I604" t="s">
        <v>7988</v>
      </c>
      <c r="J604" t="s">
        <v>1012</v>
      </c>
      <c r="K604" t="s">
        <v>74</v>
      </c>
      <c r="L604" t="s">
        <v>74</v>
      </c>
      <c r="M604" t="s">
        <v>845</v>
      </c>
      <c r="N604" t="s">
        <v>78</v>
      </c>
      <c r="O604" t="s">
        <v>74</v>
      </c>
      <c r="P604" t="s">
        <v>74</v>
      </c>
      <c r="Q604" t="s">
        <v>74</v>
      </c>
      <c r="R604" t="s">
        <v>74</v>
      </c>
      <c r="S604" t="s">
        <v>74</v>
      </c>
      <c r="T604" t="s">
        <v>74</v>
      </c>
      <c r="U604" t="s">
        <v>74</v>
      </c>
      <c r="V604" t="s">
        <v>7989</v>
      </c>
      <c r="W604" t="s">
        <v>3391</v>
      </c>
      <c r="X604" t="s">
        <v>847</v>
      </c>
      <c r="Y604" t="s">
        <v>7990</v>
      </c>
      <c r="Z604" t="s">
        <v>74</v>
      </c>
      <c r="AA604" t="s">
        <v>74</v>
      </c>
      <c r="AB604" t="s">
        <v>74</v>
      </c>
      <c r="AC604" t="s">
        <v>74</v>
      </c>
      <c r="AD604" t="s">
        <v>74</v>
      </c>
      <c r="AE604" t="s">
        <v>74</v>
      </c>
      <c r="AF604" t="s">
        <v>74</v>
      </c>
      <c r="AG604">
        <v>16</v>
      </c>
      <c r="AH604">
        <v>1</v>
      </c>
      <c r="AI604">
        <v>1</v>
      </c>
      <c r="AJ604">
        <v>0</v>
      </c>
      <c r="AK604">
        <v>0</v>
      </c>
      <c r="AL604" t="s">
        <v>849</v>
      </c>
      <c r="AM604" t="s">
        <v>850</v>
      </c>
      <c r="AN604" t="s">
        <v>851</v>
      </c>
      <c r="AO604" t="s">
        <v>1019</v>
      </c>
      <c r="AP604" t="s">
        <v>74</v>
      </c>
      <c r="AQ604" t="s">
        <v>74</v>
      </c>
      <c r="AR604" t="s">
        <v>1020</v>
      </c>
      <c r="AS604" t="s">
        <v>1021</v>
      </c>
      <c r="AT604" t="s">
        <v>7924</v>
      </c>
      <c r="AU604">
        <v>1999</v>
      </c>
      <c r="AV604">
        <v>35</v>
      </c>
      <c r="AW604">
        <v>3</v>
      </c>
      <c r="AX604" t="s">
        <v>74</v>
      </c>
      <c r="AY604" t="s">
        <v>74</v>
      </c>
      <c r="AZ604" t="s">
        <v>74</v>
      </c>
      <c r="BA604" t="s">
        <v>74</v>
      </c>
      <c r="BB604">
        <v>399</v>
      </c>
      <c r="BC604">
        <v>405</v>
      </c>
      <c r="BD604" t="s">
        <v>74</v>
      </c>
      <c r="BE604" t="s">
        <v>74</v>
      </c>
      <c r="BF604" t="s">
        <v>74</v>
      </c>
      <c r="BG604" t="s">
        <v>74</v>
      </c>
      <c r="BH604" t="s">
        <v>74</v>
      </c>
      <c r="BI604">
        <v>7</v>
      </c>
      <c r="BJ604" t="s">
        <v>1022</v>
      </c>
      <c r="BK604" t="s">
        <v>96</v>
      </c>
      <c r="BL604" t="s">
        <v>1022</v>
      </c>
      <c r="BM604" t="s">
        <v>7985</v>
      </c>
      <c r="BN604" t="s">
        <v>74</v>
      </c>
      <c r="BO604" t="s">
        <v>74</v>
      </c>
      <c r="BP604" t="s">
        <v>74</v>
      </c>
      <c r="BQ604" t="s">
        <v>74</v>
      </c>
      <c r="BR604" t="s">
        <v>99</v>
      </c>
      <c r="BS604" t="s">
        <v>7991</v>
      </c>
      <c r="BT604" t="str">
        <f>HYPERLINK("https%3A%2F%2Fwww.webofscience.com%2Fwos%2Fwoscc%2Ffull-record%2FWOS:000081476000010","View Full Record in Web of Science")</f>
        <v>View Full Record in Web of Science</v>
      </c>
    </row>
    <row r="605" spans="1:72" x14ac:dyDescent="0.15">
      <c r="A605" t="s">
        <v>72</v>
      </c>
      <c r="B605" t="s">
        <v>7992</v>
      </c>
      <c r="C605" t="s">
        <v>74</v>
      </c>
      <c r="D605" t="s">
        <v>74</v>
      </c>
      <c r="E605" t="s">
        <v>74</v>
      </c>
      <c r="F605" t="s">
        <v>7992</v>
      </c>
      <c r="G605" t="s">
        <v>74</v>
      </c>
      <c r="H605" t="s">
        <v>74</v>
      </c>
      <c r="I605" t="s">
        <v>7993</v>
      </c>
      <c r="J605" t="s">
        <v>7994</v>
      </c>
      <c r="K605" t="s">
        <v>74</v>
      </c>
      <c r="L605" t="s">
        <v>74</v>
      </c>
      <c r="M605" t="s">
        <v>77</v>
      </c>
      <c r="N605" t="s">
        <v>254</v>
      </c>
      <c r="O605" t="s">
        <v>74</v>
      </c>
      <c r="P605" t="s">
        <v>74</v>
      </c>
      <c r="Q605" t="s">
        <v>74</v>
      </c>
      <c r="R605" t="s">
        <v>74</v>
      </c>
      <c r="S605" t="s">
        <v>74</v>
      </c>
      <c r="T605" t="s">
        <v>7995</v>
      </c>
      <c r="U605" t="s">
        <v>7996</v>
      </c>
      <c r="V605" t="s">
        <v>7997</v>
      </c>
      <c r="W605" t="s">
        <v>7998</v>
      </c>
      <c r="X605" t="s">
        <v>4193</v>
      </c>
      <c r="Y605" t="s">
        <v>7999</v>
      </c>
      <c r="Z605" t="s">
        <v>8000</v>
      </c>
      <c r="AA605" t="s">
        <v>74</v>
      </c>
      <c r="AB605" t="s">
        <v>74</v>
      </c>
      <c r="AC605" t="s">
        <v>74</v>
      </c>
      <c r="AD605" t="s">
        <v>74</v>
      </c>
      <c r="AE605" t="s">
        <v>74</v>
      </c>
      <c r="AF605" t="s">
        <v>74</v>
      </c>
      <c r="AG605">
        <v>74</v>
      </c>
      <c r="AH605">
        <v>113</v>
      </c>
      <c r="AI605">
        <v>141</v>
      </c>
      <c r="AJ605">
        <v>2</v>
      </c>
      <c r="AK605">
        <v>108</v>
      </c>
      <c r="AL605" t="s">
        <v>997</v>
      </c>
      <c r="AM605" t="s">
        <v>998</v>
      </c>
      <c r="AN605" t="s">
        <v>999</v>
      </c>
      <c r="AO605" t="s">
        <v>8001</v>
      </c>
      <c r="AP605" t="s">
        <v>8002</v>
      </c>
      <c r="AQ605" t="s">
        <v>74</v>
      </c>
      <c r="AR605" t="s">
        <v>8003</v>
      </c>
      <c r="AS605" t="s">
        <v>8004</v>
      </c>
      <c r="AT605" t="s">
        <v>7623</v>
      </c>
      <c r="AU605">
        <v>1999</v>
      </c>
      <c r="AV605">
        <v>74</v>
      </c>
      <c r="AW605">
        <v>5</v>
      </c>
      <c r="AX605" t="s">
        <v>74</v>
      </c>
      <c r="AY605" t="s">
        <v>74</v>
      </c>
      <c r="AZ605" t="s">
        <v>74</v>
      </c>
      <c r="BA605" t="s">
        <v>74</v>
      </c>
      <c r="BB605">
        <v>381</v>
      </c>
      <c r="BC605">
        <v>389</v>
      </c>
      <c r="BD605" t="s">
        <v>74</v>
      </c>
      <c r="BE605" t="s">
        <v>74</v>
      </c>
      <c r="BF605" t="s">
        <v>74</v>
      </c>
      <c r="BG605" t="s">
        <v>74</v>
      </c>
      <c r="BH605" t="s">
        <v>74</v>
      </c>
      <c r="BI605">
        <v>9</v>
      </c>
      <c r="BJ605" t="s">
        <v>8005</v>
      </c>
      <c r="BK605" t="s">
        <v>96</v>
      </c>
      <c r="BL605" t="s">
        <v>8006</v>
      </c>
      <c r="BM605" t="s">
        <v>8007</v>
      </c>
      <c r="BN605" t="s">
        <v>74</v>
      </c>
      <c r="BO605" t="s">
        <v>74</v>
      </c>
      <c r="BP605" t="s">
        <v>74</v>
      </c>
      <c r="BQ605" t="s">
        <v>74</v>
      </c>
      <c r="BR605" t="s">
        <v>99</v>
      </c>
      <c r="BS605" t="s">
        <v>8008</v>
      </c>
      <c r="BT605" t="str">
        <f>HYPERLINK("https%3A%2F%2Fwww.webofscience.com%2Fwos%2Fwoscc%2Ffull-record%2FWOS:000080290500001","View Full Record in Web of Science")</f>
        <v>View Full Record in Web of Science</v>
      </c>
    </row>
    <row r="606" spans="1:72" x14ac:dyDescent="0.15">
      <c r="A606" t="s">
        <v>72</v>
      </c>
      <c r="B606" t="s">
        <v>8009</v>
      </c>
      <c r="C606" t="s">
        <v>74</v>
      </c>
      <c r="D606" t="s">
        <v>74</v>
      </c>
      <c r="E606" t="s">
        <v>74</v>
      </c>
      <c r="F606" t="s">
        <v>8009</v>
      </c>
      <c r="G606" t="s">
        <v>74</v>
      </c>
      <c r="H606" t="s">
        <v>74</v>
      </c>
      <c r="I606" t="s">
        <v>8010</v>
      </c>
      <c r="J606" t="s">
        <v>2235</v>
      </c>
      <c r="K606" t="s">
        <v>74</v>
      </c>
      <c r="L606" t="s">
        <v>74</v>
      </c>
      <c r="M606" t="s">
        <v>77</v>
      </c>
      <c r="N606" t="s">
        <v>78</v>
      </c>
      <c r="O606" t="s">
        <v>74</v>
      </c>
      <c r="P606" t="s">
        <v>74</v>
      </c>
      <c r="Q606" t="s">
        <v>74</v>
      </c>
      <c r="R606" t="s">
        <v>74</v>
      </c>
      <c r="S606" t="s">
        <v>74</v>
      </c>
      <c r="T606" t="s">
        <v>74</v>
      </c>
      <c r="U606" t="s">
        <v>8011</v>
      </c>
      <c r="V606" t="s">
        <v>8012</v>
      </c>
      <c r="W606" t="s">
        <v>8013</v>
      </c>
      <c r="X606" t="s">
        <v>8014</v>
      </c>
      <c r="Y606" t="s">
        <v>3892</v>
      </c>
      <c r="Z606" t="s">
        <v>8015</v>
      </c>
      <c r="AA606" t="s">
        <v>8016</v>
      </c>
      <c r="AB606" t="s">
        <v>6683</v>
      </c>
      <c r="AC606" t="s">
        <v>74</v>
      </c>
      <c r="AD606" t="s">
        <v>74</v>
      </c>
      <c r="AE606" t="s">
        <v>74</v>
      </c>
      <c r="AF606" t="s">
        <v>74</v>
      </c>
      <c r="AG606">
        <v>46</v>
      </c>
      <c r="AH606">
        <v>265</v>
      </c>
      <c r="AI606">
        <v>321</v>
      </c>
      <c r="AJ606">
        <v>6</v>
      </c>
      <c r="AK606">
        <v>85</v>
      </c>
      <c r="AL606" t="s">
        <v>86</v>
      </c>
      <c r="AM606" t="s">
        <v>87</v>
      </c>
      <c r="AN606" t="s">
        <v>88</v>
      </c>
      <c r="AO606" t="s">
        <v>2242</v>
      </c>
      <c r="AP606" t="s">
        <v>4550</v>
      </c>
      <c r="AQ606" t="s">
        <v>74</v>
      </c>
      <c r="AR606" t="s">
        <v>2243</v>
      </c>
      <c r="AS606" t="s">
        <v>2244</v>
      </c>
      <c r="AT606" t="s">
        <v>7623</v>
      </c>
      <c r="AU606">
        <v>1999</v>
      </c>
      <c r="AV606">
        <v>12</v>
      </c>
      <c r="AW606">
        <v>5</v>
      </c>
      <c r="AX606">
        <v>2</v>
      </c>
      <c r="AY606" t="s">
        <v>74</v>
      </c>
      <c r="AZ606" t="s">
        <v>74</v>
      </c>
      <c r="BA606" t="s">
        <v>74</v>
      </c>
      <c r="BB606">
        <v>1353</v>
      </c>
      <c r="BC606">
        <v>1367</v>
      </c>
      <c r="BD606" t="s">
        <v>74</v>
      </c>
      <c r="BE606" t="s">
        <v>8017</v>
      </c>
      <c r="BF606" t="str">
        <f>HYPERLINK("http://dx.doi.org/10.1175/1520-0442(1999)012&lt;1353:AWVFAI&gt;2.0.CO;2","http://dx.doi.org/10.1175/1520-0442(1999)012&lt;1353:AWVFAI&gt;2.0.CO;2")</f>
        <v>http://dx.doi.org/10.1175/1520-0442(1999)012&lt;1353:AWVFAI&gt;2.0.CO;2</v>
      </c>
      <c r="BG606" t="s">
        <v>74</v>
      </c>
      <c r="BH606" t="s">
        <v>74</v>
      </c>
      <c r="BI606">
        <v>15</v>
      </c>
      <c r="BJ606" t="s">
        <v>95</v>
      </c>
      <c r="BK606" t="s">
        <v>96</v>
      </c>
      <c r="BL606" t="s">
        <v>95</v>
      </c>
      <c r="BM606" t="s">
        <v>8018</v>
      </c>
      <c r="BN606" t="s">
        <v>74</v>
      </c>
      <c r="BO606" t="s">
        <v>98</v>
      </c>
      <c r="BP606" t="s">
        <v>74</v>
      </c>
      <c r="BQ606" t="s">
        <v>74</v>
      </c>
      <c r="BR606" t="s">
        <v>99</v>
      </c>
      <c r="BS606" t="s">
        <v>8019</v>
      </c>
      <c r="BT606" t="str">
        <f>HYPERLINK("https%3A%2F%2Fwww.webofscience.com%2Fwos%2Fwoscc%2Ffull-record%2FWOS:000080145700001","View Full Record in Web of Science")</f>
        <v>View Full Record in Web of Science</v>
      </c>
    </row>
    <row r="607" spans="1:72" x14ac:dyDescent="0.15">
      <c r="A607" t="s">
        <v>72</v>
      </c>
      <c r="B607" t="s">
        <v>8020</v>
      </c>
      <c r="C607" t="s">
        <v>74</v>
      </c>
      <c r="D607" t="s">
        <v>74</v>
      </c>
      <c r="E607" t="s">
        <v>74</v>
      </c>
      <c r="F607" t="s">
        <v>8020</v>
      </c>
      <c r="G607" t="s">
        <v>74</v>
      </c>
      <c r="H607" t="s">
        <v>74</v>
      </c>
      <c r="I607" t="s">
        <v>8021</v>
      </c>
      <c r="J607" t="s">
        <v>2235</v>
      </c>
      <c r="K607" t="s">
        <v>74</v>
      </c>
      <c r="L607" t="s">
        <v>74</v>
      </c>
      <c r="M607" t="s">
        <v>77</v>
      </c>
      <c r="N607" t="s">
        <v>78</v>
      </c>
      <c r="O607" t="s">
        <v>74</v>
      </c>
      <c r="P607" t="s">
        <v>74</v>
      </c>
      <c r="Q607" t="s">
        <v>74</v>
      </c>
      <c r="R607" t="s">
        <v>74</v>
      </c>
      <c r="S607" t="s">
        <v>74</v>
      </c>
      <c r="T607" t="s">
        <v>74</v>
      </c>
      <c r="U607" t="s">
        <v>8022</v>
      </c>
      <c r="V607" t="s">
        <v>8023</v>
      </c>
      <c r="W607" t="s">
        <v>8024</v>
      </c>
      <c r="X607" t="s">
        <v>8025</v>
      </c>
      <c r="Y607" t="s">
        <v>8026</v>
      </c>
      <c r="Z607" t="s">
        <v>74</v>
      </c>
      <c r="AA607" t="s">
        <v>8027</v>
      </c>
      <c r="AB607" t="s">
        <v>74</v>
      </c>
      <c r="AC607" t="s">
        <v>74</v>
      </c>
      <c r="AD607" t="s">
        <v>74</v>
      </c>
      <c r="AE607" t="s">
        <v>74</v>
      </c>
      <c r="AF607" t="s">
        <v>74</v>
      </c>
      <c r="AG607">
        <v>53</v>
      </c>
      <c r="AH607">
        <v>201</v>
      </c>
      <c r="AI607">
        <v>228</v>
      </c>
      <c r="AJ607">
        <v>2</v>
      </c>
      <c r="AK607">
        <v>18</v>
      </c>
      <c r="AL607" t="s">
        <v>86</v>
      </c>
      <c r="AM607" t="s">
        <v>87</v>
      </c>
      <c r="AN607" t="s">
        <v>88</v>
      </c>
      <c r="AO607" t="s">
        <v>2242</v>
      </c>
      <c r="AP607" t="s">
        <v>74</v>
      </c>
      <c r="AQ607" t="s">
        <v>74</v>
      </c>
      <c r="AR607" t="s">
        <v>2243</v>
      </c>
      <c r="AS607" t="s">
        <v>2244</v>
      </c>
      <c r="AT607" t="s">
        <v>7623</v>
      </c>
      <c r="AU607">
        <v>1999</v>
      </c>
      <c r="AV607">
        <v>12</v>
      </c>
      <c r="AW607">
        <v>5</v>
      </c>
      <c r="AX607">
        <v>2</v>
      </c>
      <c r="AY607" t="s">
        <v>74</v>
      </c>
      <c r="AZ607" t="s">
        <v>74</v>
      </c>
      <c r="BA607" t="s">
        <v>74</v>
      </c>
      <c r="BB607">
        <v>1467</v>
      </c>
      <c r="BC607">
        <v>1479</v>
      </c>
      <c r="BD607" t="s">
        <v>74</v>
      </c>
      <c r="BE607" t="s">
        <v>8028</v>
      </c>
      <c r="BF607" t="str">
        <f>HYPERLINK("http://dx.doi.org/10.1175/1520-0442(1999)012&lt;1467:COTAAA&gt;2.0.CO;2","http://dx.doi.org/10.1175/1520-0442(1999)012&lt;1467:COTAAA&gt;2.0.CO;2")</f>
        <v>http://dx.doi.org/10.1175/1520-0442(1999)012&lt;1467:COTAAA&gt;2.0.CO;2</v>
      </c>
      <c r="BG607" t="s">
        <v>74</v>
      </c>
      <c r="BH607" t="s">
        <v>74</v>
      </c>
      <c r="BI607">
        <v>13</v>
      </c>
      <c r="BJ607" t="s">
        <v>95</v>
      </c>
      <c r="BK607" t="s">
        <v>96</v>
      </c>
      <c r="BL607" t="s">
        <v>95</v>
      </c>
      <c r="BM607" t="s">
        <v>8018</v>
      </c>
      <c r="BN607" t="s">
        <v>74</v>
      </c>
      <c r="BO607" t="s">
        <v>250</v>
      </c>
      <c r="BP607" t="s">
        <v>74</v>
      </c>
      <c r="BQ607" t="s">
        <v>74</v>
      </c>
      <c r="BR607" t="s">
        <v>99</v>
      </c>
      <c r="BS607" t="s">
        <v>8029</v>
      </c>
      <c r="BT607" t="str">
        <f>HYPERLINK("https%3A%2F%2Fwww.webofscience.com%2Fwos%2Fwoscc%2Ffull-record%2FWOS:000080145700008","View Full Record in Web of Science")</f>
        <v>View Full Record in Web of Science</v>
      </c>
    </row>
    <row r="608" spans="1:72" x14ac:dyDescent="0.15">
      <c r="A608" t="s">
        <v>72</v>
      </c>
      <c r="B608" t="s">
        <v>8030</v>
      </c>
      <c r="C608" t="s">
        <v>74</v>
      </c>
      <c r="D608" t="s">
        <v>74</v>
      </c>
      <c r="E608" t="s">
        <v>74</v>
      </c>
      <c r="F608" t="s">
        <v>8030</v>
      </c>
      <c r="G608" t="s">
        <v>74</v>
      </c>
      <c r="H608" t="s">
        <v>74</v>
      </c>
      <c r="I608" t="s">
        <v>8031</v>
      </c>
      <c r="J608" t="s">
        <v>8032</v>
      </c>
      <c r="K608" t="s">
        <v>74</v>
      </c>
      <c r="L608" t="s">
        <v>74</v>
      </c>
      <c r="M608" t="s">
        <v>77</v>
      </c>
      <c r="N608" t="s">
        <v>78</v>
      </c>
      <c r="O608" t="s">
        <v>74</v>
      </c>
      <c r="P608" t="s">
        <v>74</v>
      </c>
      <c r="Q608" t="s">
        <v>74</v>
      </c>
      <c r="R608" t="s">
        <v>74</v>
      </c>
      <c r="S608" t="s">
        <v>74</v>
      </c>
      <c r="T608" t="s">
        <v>8033</v>
      </c>
      <c r="U608" t="s">
        <v>8034</v>
      </c>
      <c r="V608" t="s">
        <v>8035</v>
      </c>
      <c r="W608" t="s">
        <v>8036</v>
      </c>
      <c r="X608" t="s">
        <v>8037</v>
      </c>
      <c r="Y608" t="s">
        <v>8038</v>
      </c>
      <c r="Z608" t="s">
        <v>74</v>
      </c>
      <c r="AA608" t="s">
        <v>8039</v>
      </c>
      <c r="AB608" t="s">
        <v>8040</v>
      </c>
      <c r="AC608" t="s">
        <v>74</v>
      </c>
      <c r="AD608" t="s">
        <v>74</v>
      </c>
      <c r="AE608" t="s">
        <v>74</v>
      </c>
      <c r="AF608" t="s">
        <v>74</v>
      </c>
      <c r="AG608">
        <v>31</v>
      </c>
      <c r="AH608">
        <v>110</v>
      </c>
      <c r="AI608">
        <v>130</v>
      </c>
      <c r="AJ608">
        <v>3</v>
      </c>
      <c r="AK608">
        <v>42</v>
      </c>
      <c r="AL608" t="s">
        <v>553</v>
      </c>
      <c r="AM608" t="s">
        <v>554</v>
      </c>
      <c r="AN608" t="s">
        <v>555</v>
      </c>
      <c r="AO608" t="s">
        <v>8041</v>
      </c>
      <c r="AP608" t="s">
        <v>74</v>
      </c>
      <c r="AQ608" t="s">
        <v>74</v>
      </c>
      <c r="AR608" t="s">
        <v>8042</v>
      </c>
      <c r="AS608" t="s">
        <v>8043</v>
      </c>
      <c r="AT608" t="s">
        <v>7623</v>
      </c>
      <c r="AU608">
        <v>1999</v>
      </c>
      <c r="AV608">
        <v>184</v>
      </c>
      <c r="AW608">
        <v>5</v>
      </c>
      <c r="AX608" t="s">
        <v>74</v>
      </c>
      <c r="AY608" t="s">
        <v>74</v>
      </c>
      <c r="AZ608" t="s">
        <v>74</v>
      </c>
      <c r="BA608" t="s">
        <v>74</v>
      </c>
      <c r="BB608">
        <v>519</v>
      </c>
      <c r="BC608">
        <v>527</v>
      </c>
      <c r="BD608" t="s">
        <v>74</v>
      </c>
      <c r="BE608" t="s">
        <v>8044</v>
      </c>
      <c r="BF608" t="str">
        <f>HYPERLINK("http://dx.doi.org/10.1007/s003590050351","http://dx.doi.org/10.1007/s003590050351")</f>
        <v>http://dx.doi.org/10.1007/s003590050351</v>
      </c>
      <c r="BG608" t="s">
        <v>74</v>
      </c>
      <c r="BH608" t="s">
        <v>74</v>
      </c>
      <c r="BI608">
        <v>9</v>
      </c>
      <c r="BJ608" t="s">
        <v>8045</v>
      </c>
      <c r="BK608" t="s">
        <v>96</v>
      </c>
      <c r="BL608" t="s">
        <v>8046</v>
      </c>
      <c r="BM608" t="s">
        <v>8047</v>
      </c>
      <c r="BN608" t="s">
        <v>74</v>
      </c>
      <c r="BO608" t="s">
        <v>74</v>
      </c>
      <c r="BP608" t="s">
        <v>74</v>
      </c>
      <c r="BQ608" t="s">
        <v>74</v>
      </c>
      <c r="BR608" t="s">
        <v>99</v>
      </c>
      <c r="BS608" t="s">
        <v>8048</v>
      </c>
      <c r="BT608" t="str">
        <f>HYPERLINK("https%3A%2F%2Fwww.webofscience.com%2Fwos%2Fwoscc%2Ffull-record%2FWOS:000081257800005","View Full Record in Web of Science")</f>
        <v>View Full Record in Web of Science</v>
      </c>
    </row>
    <row r="609" spans="1:72" x14ac:dyDescent="0.15">
      <c r="A609" t="s">
        <v>72</v>
      </c>
      <c r="B609" t="s">
        <v>8049</v>
      </c>
      <c r="C609" t="s">
        <v>74</v>
      </c>
      <c r="D609" t="s">
        <v>74</v>
      </c>
      <c r="E609" t="s">
        <v>74</v>
      </c>
      <c r="F609" t="s">
        <v>8049</v>
      </c>
      <c r="G609" t="s">
        <v>74</v>
      </c>
      <c r="H609" t="s">
        <v>74</v>
      </c>
      <c r="I609" t="s">
        <v>8050</v>
      </c>
      <c r="J609" t="s">
        <v>1063</v>
      </c>
      <c r="K609" t="s">
        <v>74</v>
      </c>
      <c r="L609" t="s">
        <v>74</v>
      </c>
      <c r="M609" t="s">
        <v>77</v>
      </c>
      <c r="N609" t="s">
        <v>78</v>
      </c>
      <c r="O609" t="s">
        <v>74</v>
      </c>
      <c r="P609" t="s">
        <v>74</v>
      </c>
      <c r="Q609" t="s">
        <v>74</v>
      </c>
      <c r="R609" t="s">
        <v>74</v>
      </c>
      <c r="S609" t="s">
        <v>74</v>
      </c>
      <c r="T609" t="s">
        <v>74</v>
      </c>
      <c r="U609" t="s">
        <v>8051</v>
      </c>
      <c r="V609" t="s">
        <v>8052</v>
      </c>
      <c r="W609" t="s">
        <v>8053</v>
      </c>
      <c r="X609" t="s">
        <v>8054</v>
      </c>
      <c r="Y609" t="s">
        <v>8055</v>
      </c>
      <c r="Z609" t="s">
        <v>8056</v>
      </c>
      <c r="AA609" t="s">
        <v>8057</v>
      </c>
      <c r="AB609" t="s">
        <v>8058</v>
      </c>
      <c r="AC609" t="s">
        <v>74</v>
      </c>
      <c r="AD609" t="s">
        <v>74</v>
      </c>
      <c r="AE609" t="s">
        <v>74</v>
      </c>
      <c r="AF609" t="s">
        <v>74</v>
      </c>
      <c r="AG609">
        <v>17</v>
      </c>
      <c r="AH609">
        <v>26</v>
      </c>
      <c r="AI609">
        <v>26</v>
      </c>
      <c r="AJ609">
        <v>0</v>
      </c>
      <c r="AK609">
        <v>0</v>
      </c>
      <c r="AL609" t="s">
        <v>230</v>
      </c>
      <c r="AM609" t="s">
        <v>231</v>
      </c>
      <c r="AN609" t="s">
        <v>232</v>
      </c>
      <c r="AO609" t="s">
        <v>1070</v>
      </c>
      <c r="AP609" t="s">
        <v>1071</v>
      </c>
      <c r="AQ609" t="s">
        <v>74</v>
      </c>
      <c r="AR609" t="s">
        <v>1072</v>
      </c>
      <c r="AS609" t="s">
        <v>1073</v>
      </c>
      <c r="AT609" t="s">
        <v>7940</v>
      </c>
      <c r="AU609">
        <v>1999</v>
      </c>
      <c r="AV609">
        <v>104</v>
      </c>
      <c r="AW609" t="s">
        <v>8059</v>
      </c>
      <c r="AX609" t="s">
        <v>74</v>
      </c>
      <c r="AY609" t="s">
        <v>74</v>
      </c>
      <c r="AZ609" t="s">
        <v>74</v>
      </c>
      <c r="BA609" t="s">
        <v>74</v>
      </c>
      <c r="BB609">
        <v>10089</v>
      </c>
      <c r="BC609">
        <v>10100</v>
      </c>
      <c r="BD609" t="s">
        <v>74</v>
      </c>
      <c r="BE609" t="s">
        <v>8060</v>
      </c>
      <c r="BF609" t="str">
        <f>HYPERLINK("http://dx.doi.org/10.1029/1999JA900088","http://dx.doi.org/10.1029/1999JA900088")</f>
        <v>http://dx.doi.org/10.1029/1999JA900088</v>
      </c>
      <c r="BG609" t="s">
        <v>74</v>
      </c>
      <c r="BH609" t="s">
        <v>74</v>
      </c>
      <c r="BI609">
        <v>12</v>
      </c>
      <c r="BJ609" t="s">
        <v>1076</v>
      </c>
      <c r="BK609" t="s">
        <v>96</v>
      </c>
      <c r="BL609" t="s">
        <v>1076</v>
      </c>
      <c r="BM609" t="s">
        <v>8061</v>
      </c>
      <c r="BN609" t="s">
        <v>74</v>
      </c>
      <c r="BO609" t="s">
        <v>74</v>
      </c>
      <c r="BP609" t="s">
        <v>74</v>
      </c>
      <c r="BQ609" t="s">
        <v>74</v>
      </c>
      <c r="BR609" t="s">
        <v>99</v>
      </c>
      <c r="BS609" t="s">
        <v>8062</v>
      </c>
      <c r="BT609" t="str">
        <f>HYPERLINK("https%3A%2F%2Fwww.webofscience.com%2Fwos%2Fwoscc%2Ffull-record%2FWOS:000080058600037","View Full Record in Web of Science")</f>
        <v>View Full Record in Web of Science</v>
      </c>
    </row>
    <row r="610" spans="1:72" x14ac:dyDescent="0.15">
      <c r="A610" t="s">
        <v>72</v>
      </c>
      <c r="B610" t="s">
        <v>8063</v>
      </c>
      <c r="C610" t="s">
        <v>74</v>
      </c>
      <c r="D610" t="s">
        <v>74</v>
      </c>
      <c r="E610" t="s">
        <v>74</v>
      </c>
      <c r="F610" t="s">
        <v>8063</v>
      </c>
      <c r="G610" t="s">
        <v>74</v>
      </c>
      <c r="H610" t="s">
        <v>74</v>
      </c>
      <c r="I610" t="s">
        <v>8064</v>
      </c>
      <c r="J610" t="s">
        <v>1063</v>
      </c>
      <c r="K610" t="s">
        <v>74</v>
      </c>
      <c r="L610" t="s">
        <v>74</v>
      </c>
      <c r="M610" t="s">
        <v>77</v>
      </c>
      <c r="N610" t="s">
        <v>78</v>
      </c>
      <c r="O610" t="s">
        <v>74</v>
      </c>
      <c r="P610" t="s">
        <v>74</v>
      </c>
      <c r="Q610" t="s">
        <v>74</v>
      </c>
      <c r="R610" t="s">
        <v>74</v>
      </c>
      <c r="S610" t="s">
        <v>74</v>
      </c>
      <c r="T610" t="s">
        <v>74</v>
      </c>
      <c r="U610" t="s">
        <v>8065</v>
      </c>
      <c r="V610" t="s">
        <v>8066</v>
      </c>
      <c r="W610" t="s">
        <v>8067</v>
      </c>
      <c r="X610" t="s">
        <v>8068</v>
      </c>
      <c r="Y610" t="s">
        <v>8069</v>
      </c>
      <c r="Z610" t="s">
        <v>8070</v>
      </c>
      <c r="AA610" t="s">
        <v>8071</v>
      </c>
      <c r="AB610" t="s">
        <v>74</v>
      </c>
      <c r="AC610" t="s">
        <v>74</v>
      </c>
      <c r="AD610" t="s">
        <v>74</v>
      </c>
      <c r="AE610" t="s">
        <v>74</v>
      </c>
      <c r="AF610" t="s">
        <v>74</v>
      </c>
      <c r="AG610">
        <v>34</v>
      </c>
      <c r="AH610">
        <v>20</v>
      </c>
      <c r="AI610">
        <v>20</v>
      </c>
      <c r="AJ610">
        <v>0</v>
      </c>
      <c r="AK610">
        <v>0</v>
      </c>
      <c r="AL610" t="s">
        <v>230</v>
      </c>
      <c r="AM610" t="s">
        <v>231</v>
      </c>
      <c r="AN610" t="s">
        <v>232</v>
      </c>
      <c r="AO610" t="s">
        <v>1070</v>
      </c>
      <c r="AP610" t="s">
        <v>1071</v>
      </c>
      <c r="AQ610" t="s">
        <v>74</v>
      </c>
      <c r="AR610" t="s">
        <v>1072</v>
      </c>
      <c r="AS610" t="s">
        <v>1073</v>
      </c>
      <c r="AT610" t="s">
        <v>7940</v>
      </c>
      <c r="AU610">
        <v>1999</v>
      </c>
      <c r="AV610">
        <v>104</v>
      </c>
      <c r="AW610" t="s">
        <v>8059</v>
      </c>
      <c r="AX610" t="s">
        <v>74</v>
      </c>
      <c r="AY610" t="s">
        <v>74</v>
      </c>
      <c r="AZ610" t="s">
        <v>74</v>
      </c>
      <c r="BA610" t="s">
        <v>74</v>
      </c>
      <c r="BB610">
        <v>10249</v>
      </c>
      <c r="BC610">
        <v>10263</v>
      </c>
      <c r="BD610" t="s">
        <v>74</v>
      </c>
      <c r="BE610" t="s">
        <v>8072</v>
      </c>
      <c r="BF610" t="str">
        <f>HYPERLINK("http://dx.doi.org/10.1029/1998JA900141","http://dx.doi.org/10.1029/1998JA900141")</f>
        <v>http://dx.doi.org/10.1029/1998JA900141</v>
      </c>
      <c r="BG610" t="s">
        <v>74</v>
      </c>
      <c r="BH610" t="s">
        <v>74</v>
      </c>
      <c r="BI610">
        <v>15</v>
      </c>
      <c r="BJ610" t="s">
        <v>1076</v>
      </c>
      <c r="BK610" t="s">
        <v>96</v>
      </c>
      <c r="BL610" t="s">
        <v>1076</v>
      </c>
      <c r="BM610" t="s">
        <v>8061</v>
      </c>
      <c r="BN610" t="s">
        <v>74</v>
      </c>
      <c r="BO610" t="s">
        <v>250</v>
      </c>
      <c r="BP610" t="s">
        <v>74</v>
      </c>
      <c r="BQ610" t="s">
        <v>74</v>
      </c>
      <c r="BR610" t="s">
        <v>99</v>
      </c>
      <c r="BS610" t="s">
        <v>8073</v>
      </c>
      <c r="BT610" t="str">
        <f>HYPERLINK("https%3A%2F%2Fwww.webofscience.com%2Fwos%2Fwoscc%2Ffull-record%2FWOS:000080058600050","View Full Record in Web of Science")</f>
        <v>View Full Record in Web of Science</v>
      </c>
    </row>
    <row r="611" spans="1:72" x14ac:dyDescent="0.15">
      <c r="A611" t="s">
        <v>72</v>
      </c>
      <c r="B611" t="s">
        <v>8074</v>
      </c>
      <c r="C611" t="s">
        <v>74</v>
      </c>
      <c r="D611" t="s">
        <v>74</v>
      </c>
      <c r="E611" t="s">
        <v>74</v>
      </c>
      <c r="F611" t="s">
        <v>8074</v>
      </c>
      <c r="G611" t="s">
        <v>74</v>
      </c>
      <c r="H611" t="s">
        <v>74</v>
      </c>
      <c r="I611" t="s">
        <v>8075</v>
      </c>
      <c r="J611" t="s">
        <v>8076</v>
      </c>
      <c r="K611" t="s">
        <v>74</v>
      </c>
      <c r="L611" t="s">
        <v>74</v>
      </c>
      <c r="M611" t="s">
        <v>77</v>
      </c>
      <c r="N611" t="s">
        <v>78</v>
      </c>
      <c r="O611" t="s">
        <v>74</v>
      </c>
      <c r="P611" t="s">
        <v>74</v>
      </c>
      <c r="Q611" t="s">
        <v>74</v>
      </c>
      <c r="R611" t="s">
        <v>74</v>
      </c>
      <c r="S611" t="s">
        <v>74</v>
      </c>
      <c r="T611" t="s">
        <v>74</v>
      </c>
      <c r="U611" t="s">
        <v>8077</v>
      </c>
      <c r="V611" t="s">
        <v>8078</v>
      </c>
      <c r="W611" t="s">
        <v>2842</v>
      </c>
      <c r="X611" t="s">
        <v>2843</v>
      </c>
      <c r="Y611" t="s">
        <v>8079</v>
      </c>
      <c r="Z611" t="s">
        <v>74</v>
      </c>
      <c r="AA611" t="s">
        <v>8080</v>
      </c>
      <c r="AB611" t="s">
        <v>8081</v>
      </c>
      <c r="AC611" t="s">
        <v>74</v>
      </c>
      <c r="AD611" t="s">
        <v>74</v>
      </c>
      <c r="AE611" t="s">
        <v>74</v>
      </c>
      <c r="AF611" t="s">
        <v>74</v>
      </c>
      <c r="AG611">
        <v>50</v>
      </c>
      <c r="AH611">
        <v>27</v>
      </c>
      <c r="AI611">
        <v>29</v>
      </c>
      <c r="AJ611">
        <v>0</v>
      </c>
      <c r="AK611">
        <v>15</v>
      </c>
      <c r="AL611" t="s">
        <v>8082</v>
      </c>
      <c r="AM611" t="s">
        <v>8083</v>
      </c>
      <c r="AN611" t="s">
        <v>8084</v>
      </c>
      <c r="AO611" t="s">
        <v>8085</v>
      </c>
      <c r="AP611" t="s">
        <v>74</v>
      </c>
      <c r="AQ611" t="s">
        <v>74</v>
      </c>
      <c r="AR611" t="s">
        <v>8086</v>
      </c>
      <c r="AS611" t="s">
        <v>8087</v>
      </c>
      <c r="AT611" t="s">
        <v>7623</v>
      </c>
      <c r="AU611">
        <v>1999</v>
      </c>
      <c r="AV611">
        <v>57</v>
      </c>
      <c r="AW611">
        <v>3</v>
      </c>
      <c r="AX611" t="s">
        <v>74</v>
      </c>
      <c r="AY611" t="s">
        <v>74</v>
      </c>
      <c r="AZ611" t="s">
        <v>74</v>
      </c>
      <c r="BA611" t="s">
        <v>74</v>
      </c>
      <c r="BB611">
        <v>449</v>
      </c>
      <c r="BC611">
        <v>470</v>
      </c>
      <c r="BD611" t="s">
        <v>74</v>
      </c>
      <c r="BE611" t="s">
        <v>8088</v>
      </c>
      <c r="BF611" t="str">
        <f>HYPERLINK("http://dx.doi.org/10.1357/002224099764805156","http://dx.doi.org/10.1357/002224099764805156")</f>
        <v>http://dx.doi.org/10.1357/002224099764805156</v>
      </c>
      <c r="BG611" t="s">
        <v>74</v>
      </c>
      <c r="BH611" t="s">
        <v>74</v>
      </c>
      <c r="BI611">
        <v>22</v>
      </c>
      <c r="BJ611" t="s">
        <v>416</v>
      </c>
      <c r="BK611" t="s">
        <v>96</v>
      </c>
      <c r="BL611" t="s">
        <v>416</v>
      </c>
      <c r="BM611" t="s">
        <v>8089</v>
      </c>
      <c r="BN611" t="s">
        <v>74</v>
      </c>
      <c r="BO611" t="s">
        <v>74</v>
      </c>
      <c r="BP611" t="s">
        <v>74</v>
      </c>
      <c r="BQ611" t="s">
        <v>74</v>
      </c>
      <c r="BR611" t="s">
        <v>99</v>
      </c>
      <c r="BS611" t="s">
        <v>8090</v>
      </c>
      <c r="BT611" t="str">
        <f>HYPERLINK("https%3A%2F%2Fwww.webofscience.com%2Fwos%2Fwoscc%2Ffull-record%2FWOS:000081213200003","View Full Record in Web of Science")</f>
        <v>View Full Record in Web of Science</v>
      </c>
    </row>
    <row r="612" spans="1:72" x14ac:dyDescent="0.15">
      <c r="A612" t="s">
        <v>72</v>
      </c>
      <c r="B612" t="s">
        <v>8091</v>
      </c>
      <c r="C612" t="s">
        <v>74</v>
      </c>
      <c r="D612" t="s">
        <v>74</v>
      </c>
      <c r="E612" t="s">
        <v>74</v>
      </c>
      <c r="F612" t="s">
        <v>8091</v>
      </c>
      <c r="G612" t="s">
        <v>74</v>
      </c>
      <c r="H612" t="s">
        <v>74</v>
      </c>
      <c r="I612" t="s">
        <v>8092</v>
      </c>
      <c r="J612" t="s">
        <v>8093</v>
      </c>
      <c r="K612" t="s">
        <v>74</v>
      </c>
      <c r="L612" t="s">
        <v>74</v>
      </c>
      <c r="M612" t="s">
        <v>77</v>
      </c>
      <c r="N612" t="s">
        <v>78</v>
      </c>
      <c r="O612" t="s">
        <v>74</v>
      </c>
      <c r="P612" t="s">
        <v>74</v>
      </c>
      <c r="Q612" t="s">
        <v>74</v>
      </c>
      <c r="R612" t="s">
        <v>74</v>
      </c>
      <c r="S612" t="s">
        <v>74</v>
      </c>
      <c r="T612" t="s">
        <v>74</v>
      </c>
      <c r="U612" t="s">
        <v>8094</v>
      </c>
      <c r="V612" t="s">
        <v>8095</v>
      </c>
      <c r="W612" t="s">
        <v>8096</v>
      </c>
      <c r="X612" t="s">
        <v>8097</v>
      </c>
      <c r="Y612" t="s">
        <v>8098</v>
      </c>
      <c r="Z612" t="s">
        <v>74</v>
      </c>
      <c r="AA612" t="s">
        <v>74</v>
      </c>
      <c r="AB612" t="s">
        <v>74</v>
      </c>
      <c r="AC612" t="s">
        <v>74</v>
      </c>
      <c r="AD612" t="s">
        <v>74</v>
      </c>
      <c r="AE612" t="s">
        <v>74</v>
      </c>
      <c r="AF612" t="s">
        <v>74</v>
      </c>
      <c r="AG612">
        <v>42</v>
      </c>
      <c r="AH612">
        <v>14</v>
      </c>
      <c r="AI612">
        <v>15</v>
      </c>
      <c r="AJ612">
        <v>0</v>
      </c>
      <c r="AK612">
        <v>0</v>
      </c>
      <c r="AL612" t="s">
        <v>8099</v>
      </c>
      <c r="AM612" t="s">
        <v>2392</v>
      </c>
      <c r="AN612" t="s">
        <v>6959</v>
      </c>
      <c r="AO612" t="s">
        <v>8100</v>
      </c>
      <c r="AP612" t="s">
        <v>74</v>
      </c>
      <c r="AQ612" t="s">
        <v>74</v>
      </c>
      <c r="AR612" t="s">
        <v>8101</v>
      </c>
      <c r="AS612" t="s">
        <v>8102</v>
      </c>
      <c r="AT612" t="s">
        <v>7623</v>
      </c>
      <c r="AU612">
        <v>1999</v>
      </c>
      <c r="AV612">
        <v>73</v>
      </c>
      <c r="AW612">
        <v>3</v>
      </c>
      <c r="AX612" t="s">
        <v>74</v>
      </c>
      <c r="AY612" t="s">
        <v>74</v>
      </c>
      <c r="AZ612" t="s">
        <v>74</v>
      </c>
      <c r="BA612" t="s">
        <v>74</v>
      </c>
      <c r="BB612">
        <v>373</v>
      </c>
      <c r="BC612">
        <v>379</v>
      </c>
      <c r="BD612" t="s">
        <v>74</v>
      </c>
      <c r="BE612" t="s">
        <v>8103</v>
      </c>
      <c r="BF612" t="str">
        <f>HYPERLINK("http://dx.doi.org/10.1017/S0022336000027888","http://dx.doi.org/10.1017/S0022336000027888")</f>
        <v>http://dx.doi.org/10.1017/S0022336000027888</v>
      </c>
      <c r="BG612" t="s">
        <v>74</v>
      </c>
      <c r="BH612" t="s">
        <v>74</v>
      </c>
      <c r="BI612">
        <v>7</v>
      </c>
      <c r="BJ612" t="s">
        <v>1270</v>
      </c>
      <c r="BK612" t="s">
        <v>96</v>
      </c>
      <c r="BL612" t="s">
        <v>1270</v>
      </c>
      <c r="BM612" t="s">
        <v>8104</v>
      </c>
      <c r="BN612" t="s">
        <v>74</v>
      </c>
      <c r="BO612" t="s">
        <v>74</v>
      </c>
      <c r="BP612" t="s">
        <v>74</v>
      </c>
      <c r="BQ612" t="s">
        <v>74</v>
      </c>
      <c r="BR612" t="s">
        <v>99</v>
      </c>
      <c r="BS612" t="s">
        <v>8105</v>
      </c>
      <c r="BT612" t="str">
        <f>HYPERLINK("https%3A%2F%2Fwww.webofscience.com%2Fwos%2Fwoscc%2Ffull-record%2FWOS:000080445800001","View Full Record in Web of Science")</f>
        <v>View Full Record in Web of Science</v>
      </c>
    </row>
    <row r="613" spans="1:72" x14ac:dyDescent="0.15">
      <c r="A613" t="s">
        <v>72</v>
      </c>
      <c r="B613" t="s">
        <v>8106</v>
      </c>
      <c r="C613" t="s">
        <v>74</v>
      </c>
      <c r="D613" t="s">
        <v>74</v>
      </c>
      <c r="E613" t="s">
        <v>74</v>
      </c>
      <c r="F613" t="s">
        <v>8106</v>
      </c>
      <c r="G613" t="s">
        <v>74</v>
      </c>
      <c r="H613" t="s">
        <v>74</v>
      </c>
      <c r="I613" t="s">
        <v>8107</v>
      </c>
      <c r="J613" t="s">
        <v>1199</v>
      </c>
      <c r="K613" t="s">
        <v>74</v>
      </c>
      <c r="L613" t="s">
        <v>74</v>
      </c>
      <c r="M613" t="s">
        <v>77</v>
      </c>
      <c r="N613" t="s">
        <v>78</v>
      </c>
      <c r="O613" t="s">
        <v>74</v>
      </c>
      <c r="P613" t="s">
        <v>74</v>
      </c>
      <c r="Q613" t="s">
        <v>74</v>
      </c>
      <c r="R613" t="s">
        <v>74</v>
      </c>
      <c r="S613" t="s">
        <v>74</v>
      </c>
      <c r="T613" t="s">
        <v>74</v>
      </c>
      <c r="U613" t="s">
        <v>8108</v>
      </c>
      <c r="V613" t="s">
        <v>8109</v>
      </c>
      <c r="W613" t="s">
        <v>8110</v>
      </c>
      <c r="X613" t="s">
        <v>8111</v>
      </c>
      <c r="Y613" t="s">
        <v>8112</v>
      </c>
      <c r="Z613" t="s">
        <v>74</v>
      </c>
      <c r="AA613" t="s">
        <v>8113</v>
      </c>
      <c r="AB613" t="s">
        <v>8114</v>
      </c>
      <c r="AC613" t="s">
        <v>74</v>
      </c>
      <c r="AD613" t="s">
        <v>74</v>
      </c>
      <c r="AE613" t="s">
        <v>74</v>
      </c>
      <c r="AF613" t="s">
        <v>74</v>
      </c>
      <c r="AG613">
        <v>83</v>
      </c>
      <c r="AH613">
        <v>98</v>
      </c>
      <c r="AI613">
        <v>107</v>
      </c>
      <c r="AJ613">
        <v>0</v>
      </c>
      <c r="AK613">
        <v>26</v>
      </c>
      <c r="AL613" t="s">
        <v>3642</v>
      </c>
      <c r="AM613" t="s">
        <v>3643</v>
      </c>
      <c r="AN613" t="s">
        <v>3644</v>
      </c>
      <c r="AO613" t="s">
        <v>1207</v>
      </c>
      <c r="AP613" t="s">
        <v>74</v>
      </c>
      <c r="AQ613" t="s">
        <v>74</v>
      </c>
      <c r="AR613" t="s">
        <v>1209</v>
      </c>
      <c r="AS613" t="s">
        <v>1210</v>
      </c>
      <c r="AT613" t="s">
        <v>7623</v>
      </c>
      <c r="AU613">
        <v>1999</v>
      </c>
      <c r="AV613">
        <v>44</v>
      </c>
      <c r="AW613">
        <v>3</v>
      </c>
      <c r="AX613" t="s">
        <v>74</v>
      </c>
      <c r="AY613" t="s">
        <v>74</v>
      </c>
      <c r="AZ613" t="s">
        <v>74</v>
      </c>
      <c r="BA613" t="s">
        <v>74</v>
      </c>
      <c r="BB613">
        <v>586</v>
      </c>
      <c r="BC613">
        <v>596</v>
      </c>
      <c r="BD613" t="s">
        <v>74</v>
      </c>
      <c r="BE613" t="s">
        <v>8115</v>
      </c>
      <c r="BF613" t="str">
        <f>HYPERLINK("http://dx.doi.org/10.4319/lo.1999.44.3.0586","http://dx.doi.org/10.4319/lo.1999.44.3.0586")</f>
        <v>http://dx.doi.org/10.4319/lo.1999.44.3.0586</v>
      </c>
      <c r="BG613" t="s">
        <v>74</v>
      </c>
      <c r="BH613" t="s">
        <v>74</v>
      </c>
      <c r="BI613">
        <v>11</v>
      </c>
      <c r="BJ613" t="s">
        <v>1212</v>
      </c>
      <c r="BK613" t="s">
        <v>96</v>
      </c>
      <c r="BL613" t="s">
        <v>1136</v>
      </c>
      <c r="BM613" t="s">
        <v>8116</v>
      </c>
      <c r="BN613" t="s">
        <v>74</v>
      </c>
      <c r="BO613" t="s">
        <v>250</v>
      </c>
      <c r="BP613" t="s">
        <v>74</v>
      </c>
      <c r="BQ613" t="s">
        <v>74</v>
      </c>
      <c r="BR613" t="s">
        <v>99</v>
      </c>
      <c r="BS613" t="s">
        <v>8117</v>
      </c>
      <c r="BT613" t="str">
        <f>HYPERLINK("https%3A%2F%2Fwww.webofscience.com%2Fwos%2Fwoscc%2Ffull-record%2FWOS:000080326300010","View Full Record in Web of Science")</f>
        <v>View Full Record in Web of Science</v>
      </c>
    </row>
    <row r="614" spans="1:72" x14ac:dyDescent="0.15">
      <c r="A614" t="s">
        <v>72</v>
      </c>
      <c r="B614" t="s">
        <v>8118</v>
      </c>
      <c r="C614" t="s">
        <v>74</v>
      </c>
      <c r="D614" t="s">
        <v>74</v>
      </c>
      <c r="E614" t="s">
        <v>74</v>
      </c>
      <c r="F614" t="s">
        <v>8118</v>
      </c>
      <c r="G614" t="s">
        <v>74</v>
      </c>
      <c r="H614" t="s">
        <v>74</v>
      </c>
      <c r="I614" t="s">
        <v>8119</v>
      </c>
      <c r="J614" t="s">
        <v>1199</v>
      </c>
      <c r="K614" t="s">
        <v>74</v>
      </c>
      <c r="L614" t="s">
        <v>74</v>
      </c>
      <c r="M614" t="s">
        <v>77</v>
      </c>
      <c r="N614" t="s">
        <v>78</v>
      </c>
      <c r="O614" t="s">
        <v>74</v>
      </c>
      <c r="P614" t="s">
        <v>74</v>
      </c>
      <c r="Q614" t="s">
        <v>74</v>
      </c>
      <c r="R614" t="s">
        <v>74</v>
      </c>
      <c r="S614" t="s">
        <v>74</v>
      </c>
      <c r="T614" t="s">
        <v>74</v>
      </c>
      <c r="U614" t="s">
        <v>8120</v>
      </c>
      <c r="V614" t="s">
        <v>8121</v>
      </c>
      <c r="W614" t="s">
        <v>8122</v>
      </c>
      <c r="X614" t="s">
        <v>8123</v>
      </c>
      <c r="Y614" t="s">
        <v>4744</v>
      </c>
      <c r="Z614" t="s">
        <v>74</v>
      </c>
      <c r="AA614" t="s">
        <v>8124</v>
      </c>
      <c r="AB614" t="s">
        <v>8125</v>
      </c>
      <c r="AC614" t="s">
        <v>8126</v>
      </c>
      <c r="AD614" t="s">
        <v>8127</v>
      </c>
      <c r="AE614" t="s">
        <v>8128</v>
      </c>
      <c r="AF614" t="s">
        <v>74</v>
      </c>
      <c r="AG614">
        <v>63</v>
      </c>
      <c r="AH614">
        <v>75</v>
      </c>
      <c r="AI614">
        <v>82</v>
      </c>
      <c r="AJ614">
        <v>0</v>
      </c>
      <c r="AK614">
        <v>35</v>
      </c>
      <c r="AL614" t="s">
        <v>997</v>
      </c>
      <c r="AM614" t="s">
        <v>998</v>
      </c>
      <c r="AN614" t="s">
        <v>999</v>
      </c>
      <c r="AO614" t="s">
        <v>1207</v>
      </c>
      <c r="AP614" t="s">
        <v>1208</v>
      </c>
      <c r="AQ614" t="s">
        <v>74</v>
      </c>
      <c r="AR614" t="s">
        <v>1209</v>
      </c>
      <c r="AS614" t="s">
        <v>1210</v>
      </c>
      <c r="AT614" t="s">
        <v>7623</v>
      </c>
      <c r="AU614">
        <v>1999</v>
      </c>
      <c r="AV614">
        <v>44</v>
      </c>
      <c r="AW614">
        <v>3</v>
      </c>
      <c r="AX614" t="s">
        <v>74</v>
      </c>
      <c r="AY614" t="s">
        <v>74</v>
      </c>
      <c r="AZ614" t="s">
        <v>74</v>
      </c>
      <c r="BA614" t="s">
        <v>74</v>
      </c>
      <c r="BB614">
        <v>597</v>
      </c>
      <c r="BC614">
        <v>607</v>
      </c>
      <c r="BD614" t="s">
        <v>74</v>
      </c>
      <c r="BE614" t="s">
        <v>8129</v>
      </c>
      <c r="BF614" t="str">
        <f>HYPERLINK("http://dx.doi.org/10.4319/lo.1999.44.3.0597","http://dx.doi.org/10.4319/lo.1999.44.3.0597")</f>
        <v>http://dx.doi.org/10.4319/lo.1999.44.3.0597</v>
      </c>
      <c r="BG614" t="s">
        <v>74</v>
      </c>
      <c r="BH614" t="s">
        <v>74</v>
      </c>
      <c r="BI614">
        <v>11</v>
      </c>
      <c r="BJ614" t="s">
        <v>1212</v>
      </c>
      <c r="BK614" t="s">
        <v>96</v>
      </c>
      <c r="BL614" t="s">
        <v>1136</v>
      </c>
      <c r="BM614" t="s">
        <v>8116</v>
      </c>
      <c r="BN614" t="s">
        <v>74</v>
      </c>
      <c r="BO614" t="s">
        <v>74</v>
      </c>
      <c r="BP614" t="s">
        <v>74</v>
      </c>
      <c r="BQ614" t="s">
        <v>74</v>
      </c>
      <c r="BR614" t="s">
        <v>99</v>
      </c>
      <c r="BS614" t="s">
        <v>8130</v>
      </c>
      <c r="BT614" t="str">
        <f>HYPERLINK("https%3A%2F%2Fwww.webofscience.com%2Fwos%2Fwoscc%2Ffull-record%2FWOS:000080326300011","View Full Record in Web of Science")</f>
        <v>View Full Record in Web of Science</v>
      </c>
    </row>
    <row r="615" spans="1:72" x14ac:dyDescent="0.15">
      <c r="A615" t="s">
        <v>72</v>
      </c>
      <c r="B615" t="s">
        <v>8131</v>
      </c>
      <c r="C615" t="s">
        <v>74</v>
      </c>
      <c r="D615" t="s">
        <v>74</v>
      </c>
      <c r="E615" t="s">
        <v>74</v>
      </c>
      <c r="F615" t="s">
        <v>8131</v>
      </c>
      <c r="G615" t="s">
        <v>74</v>
      </c>
      <c r="H615" t="s">
        <v>74</v>
      </c>
      <c r="I615" t="s">
        <v>8132</v>
      </c>
      <c r="J615" t="s">
        <v>1253</v>
      </c>
      <c r="K615" t="s">
        <v>74</v>
      </c>
      <c r="L615" t="s">
        <v>74</v>
      </c>
      <c r="M615" t="s">
        <v>77</v>
      </c>
      <c r="N615" t="s">
        <v>78</v>
      </c>
      <c r="O615" t="s">
        <v>74</v>
      </c>
      <c r="P615" t="s">
        <v>74</v>
      </c>
      <c r="Q615" t="s">
        <v>74</v>
      </c>
      <c r="R615" t="s">
        <v>74</v>
      </c>
      <c r="S615" t="s">
        <v>74</v>
      </c>
      <c r="T615" t="s">
        <v>8133</v>
      </c>
      <c r="U615" t="s">
        <v>8134</v>
      </c>
      <c r="V615" t="s">
        <v>8135</v>
      </c>
      <c r="W615" t="s">
        <v>8136</v>
      </c>
      <c r="X615" t="s">
        <v>8137</v>
      </c>
      <c r="Y615" t="s">
        <v>8138</v>
      </c>
      <c r="Z615" t="s">
        <v>74</v>
      </c>
      <c r="AA615" t="s">
        <v>74</v>
      </c>
      <c r="AB615" t="s">
        <v>74</v>
      </c>
      <c r="AC615" t="s">
        <v>74</v>
      </c>
      <c r="AD615" t="s">
        <v>74</v>
      </c>
      <c r="AE615" t="s">
        <v>74</v>
      </c>
      <c r="AF615" t="s">
        <v>74</v>
      </c>
      <c r="AG615">
        <v>80</v>
      </c>
      <c r="AH615">
        <v>20</v>
      </c>
      <c r="AI615">
        <v>20</v>
      </c>
      <c r="AJ615">
        <v>0</v>
      </c>
      <c r="AK615">
        <v>5</v>
      </c>
      <c r="AL615" t="s">
        <v>210</v>
      </c>
      <c r="AM615" t="s">
        <v>211</v>
      </c>
      <c r="AN615" t="s">
        <v>212</v>
      </c>
      <c r="AO615" t="s">
        <v>1265</v>
      </c>
      <c r="AP615" t="s">
        <v>74</v>
      </c>
      <c r="AQ615" t="s">
        <v>74</v>
      </c>
      <c r="AR615" t="s">
        <v>1267</v>
      </c>
      <c r="AS615" t="s">
        <v>1268</v>
      </c>
      <c r="AT615" t="s">
        <v>7623</v>
      </c>
      <c r="AU615">
        <v>1999</v>
      </c>
      <c r="AV615">
        <v>36</v>
      </c>
      <c r="AW615">
        <v>4</v>
      </c>
      <c r="AX615" t="s">
        <v>74</v>
      </c>
      <c r="AY615" t="s">
        <v>74</v>
      </c>
      <c r="AZ615" t="s">
        <v>74</v>
      </c>
      <c r="BA615" t="s">
        <v>74</v>
      </c>
      <c r="BB615">
        <v>269</v>
      </c>
      <c r="BC615">
        <v>290</v>
      </c>
      <c r="BD615" t="s">
        <v>74</v>
      </c>
      <c r="BE615" t="s">
        <v>8139</v>
      </c>
      <c r="BF615" t="str">
        <f>HYPERLINK("http://dx.doi.org/10.1016/S0377-8398(99)00006-7","http://dx.doi.org/10.1016/S0377-8398(99)00006-7")</f>
        <v>http://dx.doi.org/10.1016/S0377-8398(99)00006-7</v>
      </c>
      <c r="BG615" t="s">
        <v>74</v>
      </c>
      <c r="BH615" t="s">
        <v>74</v>
      </c>
      <c r="BI615">
        <v>22</v>
      </c>
      <c r="BJ615" t="s">
        <v>1270</v>
      </c>
      <c r="BK615" t="s">
        <v>96</v>
      </c>
      <c r="BL615" t="s">
        <v>1270</v>
      </c>
      <c r="BM615" t="s">
        <v>8140</v>
      </c>
      <c r="BN615" t="s">
        <v>74</v>
      </c>
      <c r="BO615" t="s">
        <v>74</v>
      </c>
      <c r="BP615" t="s">
        <v>74</v>
      </c>
      <c r="BQ615" t="s">
        <v>74</v>
      </c>
      <c r="BR615" t="s">
        <v>99</v>
      </c>
      <c r="BS615" t="s">
        <v>8141</v>
      </c>
      <c r="BT615" t="str">
        <f>HYPERLINK("https%3A%2F%2Fwww.webofscience.com%2Fwos%2Fwoscc%2Ffull-record%2FWOS:000080034400006","View Full Record in Web of Science")</f>
        <v>View Full Record in Web of Science</v>
      </c>
    </row>
    <row r="616" spans="1:72" x14ac:dyDescent="0.15">
      <c r="A616" t="s">
        <v>72</v>
      </c>
      <c r="B616" t="s">
        <v>1273</v>
      </c>
      <c r="C616" t="s">
        <v>74</v>
      </c>
      <c r="D616" t="s">
        <v>74</v>
      </c>
      <c r="E616" t="s">
        <v>74</v>
      </c>
      <c r="F616" t="s">
        <v>1273</v>
      </c>
      <c r="G616" t="s">
        <v>74</v>
      </c>
      <c r="H616" t="s">
        <v>74</v>
      </c>
      <c r="I616" t="s">
        <v>8142</v>
      </c>
      <c r="J616" t="s">
        <v>1275</v>
      </c>
      <c r="K616" t="s">
        <v>74</v>
      </c>
      <c r="L616" t="s">
        <v>74</v>
      </c>
      <c r="M616" t="s">
        <v>77</v>
      </c>
      <c r="N616" t="s">
        <v>1187</v>
      </c>
      <c r="O616" t="s">
        <v>74</v>
      </c>
      <c r="P616" t="s">
        <v>74</v>
      </c>
      <c r="Q616" t="s">
        <v>74</v>
      </c>
      <c r="R616" t="s">
        <v>74</v>
      </c>
      <c r="S616" t="s">
        <v>74</v>
      </c>
      <c r="T616" t="s">
        <v>74</v>
      </c>
      <c r="U616" t="s">
        <v>74</v>
      </c>
      <c r="V616" t="s">
        <v>74</v>
      </c>
      <c r="W616" t="s">
        <v>74</v>
      </c>
      <c r="X616" t="s">
        <v>74</v>
      </c>
      <c r="Y616" t="s">
        <v>74</v>
      </c>
      <c r="Z616" t="s">
        <v>74</v>
      </c>
      <c r="AA616" t="s">
        <v>74</v>
      </c>
      <c r="AB616" t="s">
        <v>74</v>
      </c>
      <c r="AC616" t="s">
        <v>74</v>
      </c>
      <c r="AD616" t="s">
        <v>74</v>
      </c>
      <c r="AE616" t="s">
        <v>74</v>
      </c>
      <c r="AF616" t="s">
        <v>74</v>
      </c>
      <c r="AG616">
        <v>1</v>
      </c>
      <c r="AH616">
        <v>0</v>
      </c>
      <c r="AI616">
        <v>0</v>
      </c>
      <c r="AJ616">
        <v>0</v>
      </c>
      <c r="AK616">
        <v>0</v>
      </c>
      <c r="AL616" t="s">
        <v>1276</v>
      </c>
      <c r="AM616" t="s">
        <v>531</v>
      </c>
      <c r="AN616" t="s">
        <v>1277</v>
      </c>
      <c r="AO616" t="s">
        <v>1278</v>
      </c>
      <c r="AP616" t="s">
        <v>74</v>
      </c>
      <c r="AQ616" t="s">
        <v>74</v>
      </c>
      <c r="AR616" t="s">
        <v>1275</v>
      </c>
      <c r="AS616" t="s">
        <v>1279</v>
      </c>
      <c r="AT616" t="s">
        <v>7623</v>
      </c>
      <c r="AU616">
        <v>1999</v>
      </c>
      <c r="AV616">
        <v>85</v>
      </c>
      <c r="AW616">
        <v>2</v>
      </c>
      <c r="AX616" t="s">
        <v>74</v>
      </c>
      <c r="AY616" t="s">
        <v>74</v>
      </c>
      <c r="AZ616" t="s">
        <v>74</v>
      </c>
      <c r="BA616" t="s">
        <v>74</v>
      </c>
      <c r="BB616">
        <v>250</v>
      </c>
      <c r="BC616">
        <v>252</v>
      </c>
      <c r="BD616" t="s">
        <v>74</v>
      </c>
      <c r="BE616" t="s">
        <v>74</v>
      </c>
      <c r="BF616" t="s">
        <v>74</v>
      </c>
      <c r="BG616" t="s">
        <v>74</v>
      </c>
      <c r="BH616" t="s">
        <v>74</v>
      </c>
      <c r="BI616">
        <v>3</v>
      </c>
      <c r="BJ616" t="s">
        <v>1280</v>
      </c>
      <c r="BK616" t="s">
        <v>1281</v>
      </c>
      <c r="BL616" t="s">
        <v>1280</v>
      </c>
      <c r="BM616" t="s">
        <v>8143</v>
      </c>
      <c r="BN616" t="s">
        <v>74</v>
      </c>
      <c r="BO616" t="s">
        <v>74</v>
      </c>
      <c r="BP616" t="s">
        <v>74</v>
      </c>
      <c r="BQ616" t="s">
        <v>74</v>
      </c>
      <c r="BR616" t="s">
        <v>99</v>
      </c>
      <c r="BS616" t="s">
        <v>8144</v>
      </c>
      <c r="BT616" t="str">
        <f>HYPERLINK("https%3A%2F%2Fwww.webofscience.com%2Fwos%2Fwoscc%2Ffull-record%2FWOS:000080314100045","View Full Record in Web of Science")</f>
        <v>View Full Record in Web of Science</v>
      </c>
    </row>
    <row r="617" spans="1:72" x14ac:dyDescent="0.15">
      <c r="A617" t="s">
        <v>72</v>
      </c>
      <c r="B617" t="s">
        <v>8145</v>
      </c>
      <c r="C617" t="s">
        <v>74</v>
      </c>
      <c r="D617" t="s">
        <v>74</v>
      </c>
      <c r="E617" t="s">
        <v>74</v>
      </c>
      <c r="F617" t="s">
        <v>8145</v>
      </c>
      <c r="G617" t="s">
        <v>74</v>
      </c>
      <c r="H617" t="s">
        <v>74</v>
      </c>
      <c r="I617" t="s">
        <v>8146</v>
      </c>
      <c r="J617" t="s">
        <v>5860</v>
      </c>
      <c r="K617" t="s">
        <v>74</v>
      </c>
      <c r="L617" t="s">
        <v>74</v>
      </c>
      <c r="M617" t="s">
        <v>77</v>
      </c>
      <c r="N617" t="s">
        <v>78</v>
      </c>
      <c r="O617" t="s">
        <v>74</v>
      </c>
      <c r="P617" t="s">
        <v>74</v>
      </c>
      <c r="Q617" t="s">
        <v>74</v>
      </c>
      <c r="R617" t="s">
        <v>74</v>
      </c>
      <c r="S617" t="s">
        <v>74</v>
      </c>
      <c r="T617" t="s">
        <v>74</v>
      </c>
      <c r="U617" t="s">
        <v>8147</v>
      </c>
      <c r="V617" t="s">
        <v>8148</v>
      </c>
      <c r="W617" t="s">
        <v>8149</v>
      </c>
      <c r="X617" t="s">
        <v>8150</v>
      </c>
      <c r="Y617" t="s">
        <v>8151</v>
      </c>
      <c r="Z617" t="s">
        <v>8152</v>
      </c>
      <c r="AA617" t="s">
        <v>74</v>
      </c>
      <c r="AB617" t="s">
        <v>8153</v>
      </c>
      <c r="AC617" t="s">
        <v>74</v>
      </c>
      <c r="AD617" t="s">
        <v>74</v>
      </c>
      <c r="AE617" t="s">
        <v>74</v>
      </c>
      <c r="AF617" t="s">
        <v>74</v>
      </c>
      <c r="AG617">
        <v>49</v>
      </c>
      <c r="AH617">
        <v>106</v>
      </c>
      <c r="AI617">
        <v>112</v>
      </c>
      <c r="AJ617">
        <v>0</v>
      </c>
      <c r="AK617">
        <v>15</v>
      </c>
      <c r="AL617" t="s">
        <v>3435</v>
      </c>
      <c r="AM617" t="s">
        <v>4921</v>
      </c>
      <c r="AN617" t="s">
        <v>4922</v>
      </c>
      <c r="AO617" t="s">
        <v>8154</v>
      </c>
      <c r="AP617" t="s">
        <v>74</v>
      </c>
      <c r="AQ617" t="s">
        <v>74</v>
      </c>
      <c r="AR617" t="s">
        <v>5866</v>
      </c>
      <c r="AS617" t="s">
        <v>5867</v>
      </c>
      <c r="AT617" t="s">
        <v>7623</v>
      </c>
      <c r="AU617">
        <v>1999</v>
      </c>
      <c r="AV617">
        <v>34</v>
      </c>
      <c r="AW617">
        <v>3</v>
      </c>
      <c r="AX617" t="s">
        <v>74</v>
      </c>
      <c r="AY617" t="s">
        <v>74</v>
      </c>
      <c r="AZ617" t="s">
        <v>74</v>
      </c>
      <c r="BA617" t="s">
        <v>74</v>
      </c>
      <c r="BB617">
        <v>341</v>
      </c>
      <c r="BC617">
        <v>356</v>
      </c>
      <c r="BD617" t="s">
        <v>74</v>
      </c>
      <c r="BE617" t="s">
        <v>8155</v>
      </c>
      <c r="BF617" t="str">
        <f>HYPERLINK("http://dx.doi.org/10.1111/j.1945-5100.1999.tb01344.x","http://dx.doi.org/10.1111/j.1945-5100.1999.tb01344.x")</f>
        <v>http://dx.doi.org/10.1111/j.1945-5100.1999.tb01344.x</v>
      </c>
      <c r="BG617" t="s">
        <v>74</v>
      </c>
      <c r="BH617" t="s">
        <v>74</v>
      </c>
      <c r="BI617">
        <v>16</v>
      </c>
      <c r="BJ617" t="s">
        <v>216</v>
      </c>
      <c r="BK617" t="s">
        <v>96</v>
      </c>
      <c r="BL617" t="s">
        <v>216</v>
      </c>
      <c r="BM617" t="s">
        <v>8156</v>
      </c>
      <c r="BN617" t="s">
        <v>74</v>
      </c>
      <c r="BO617" t="s">
        <v>250</v>
      </c>
      <c r="BP617" t="s">
        <v>74</v>
      </c>
      <c r="BQ617" t="s">
        <v>74</v>
      </c>
      <c r="BR617" t="s">
        <v>99</v>
      </c>
      <c r="BS617" t="s">
        <v>8157</v>
      </c>
      <c r="BT617" t="str">
        <f>HYPERLINK("https%3A%2F%2Fwww.webofscience.com%2Fwos%2Fwoscc%2Ffull-record%2FWOS:000080572400008","View Full Record in Web of Science")</f>
        <v>View Full Record in Web of Science</v>
      </c>
    </row>
    <row r="618" spans="1:72" x14ac:dyDescent="0.15">
      <c r="A618" t="s">
        <v>72</v>
      </c>
      <c r="B618" t="s">
        <v>8158</v>
      </c>
      <c r="C618" t="s">
        <v>74</v>
      </c>
      <c r="D618" t="s">
        <v>74</v>
      </c>
      <c r="E618" t="s">
        <v>74</v>
      </c>
      <c r="F618" t="s">
        <v>8158</v>
      </c>
      <c r="G618" t="s">
        <v>74</v>
      </c>
      <c r="H618" t="s">
        <v>74</v>
      </c>
      <c r="I618" t="s">
        <v>8159</v>
      </c>
      <c r="J618" t="s">
        <v>5860</v>
      </c>
      <c r="K618" t="s">
        <v>74</v>
      </c>
      <c r="L618" t="s">
        <v>74</v>
      </c>
      <c r="M618" t="s">
        <v>77</v>
      </c>
      <c r="N618" t="s">
        <v>78</v>
      </c>
      <c r="O618" t="s">
        <v>74</v>
      </c>
      <c r="P618" t="s">
        <v>74</v>
      </c>
      <c r="Q618" t="s">
        <v>74</v>
      </c>
      <c r="R618" t="s">
        <v>74</v>
      </c>
      <c r="S618" t="s">
        <v>74</v>
      </c>
      <c r="T618" t="s">
        <v>74</v>
      </c>
      <c r="U618" t="s">
        <v>8160</v>
      </c>
      <c r="V618" t="s">
        <v>8161</v>
      </c>
      <c r="W618" t="s">
        <v>8162</v>
      </c>
      <c r="X618" t="s">
        <v>5082</v>
      </c>
      <c r="Y618" t="s">
        <v>8163</v>
      </c>
      <c r="Z618" t="s">
        <v>74</v>
      </c>
      <c r="AA618" t="s">
        <v>74</v>
      </c>
      <c r="AB618" t="s">
        <v>74</v>
      </c>
      <c r="AC618" t="s">
        <v>74</v>
      </c>
      <c r="AD618" t="s">
        <v>74</v>
      </c>
      <c r="AE618" t="s">
        <v>74</v>
      </c>
      <c r="AF618" t="s">
        <v>74</v>
      </c>
      <c r="AG618">
        <v>62</v>
      </c>
      <c r="AH618">
        <v>108</v>
      </c>
      <c r="AI618">
        <v>112</v>
      </c>
      <c r="AJ618">
        <v>1</v>
      </c>
      <c r="AK618">
        <v>16</v>
      </c>
      <c r="AL618" t="s">
        <v>5862</v>
      </c>
      <c r="AM618" t="s">
        <v>5863</v>
      </c>
      <c r="AN618" t="s">
        <v>5864</v>
      </c>
      <c r="AO618" t="s">
        <v>5865</v>
      </c>
      <c r="AP618" t="s">
        <v>74</v>
      </c>
      <c r="AQ618" t="s">
        <v>74</v>
      </c>
      <c r="AR618" t="s">
        <v>5866</v>
      </c>
      <c r="AS618" t="s">
        <v>5867</v>
      </c>
      <c r="AT618" t="s">
        <v>7623</v>
      </c>
      <c r="AU618">
        <v>1999</v>
      </c>
      <c r="AV618">
        <v>34</v>
      </c>
      <c r="AW618">
        <v>3</v>
      </c>
      <c r="AX618" t="s">
        <v>74</v>
      </c>
      <c r="AY618" t="s">
        <v>74</v>
      </c>
      <c r="AZ618" t="s">
        <v>74</v>
      </c>
      <c r="BA618" t="s">
        <v>74</v>
      </c>
      <c r="BB618">
        <v>439</v>
      </c>
      <c r="BC618">
        <v>449</v>
      </c>
      <c r="BD618" t="s">
        <v>74</v>
      </c>
      <c r="BE618" t="s">
        <v>8164</v>
      </c>
      <c r="BF618" t="str">
        <f>HYPERLINK("http://dx.doi.org/10.1111/j.1945-5100.1999.tb01352.x","http://dx.doi.org/10.1111/j.1945-5100.1999.tb01352.x")</f>
        <v>http://dx.doi.org/10.1111/j.1945-5100.1999.tb01352.x</v>
      </c>
      <c r="BG618" t="s">
        <v>74</v>
      </c>
      <c r="BH618" t="s">
        <v>74</v>
      </c>
      <c r="BI618">
        <v>11</v>
      </c>
      <c r="BJ618" t="s">
        <v>216</v>
      </c>
      <c r="BK618" t="s">
        <v>96</v>
      </c>
      <c r="BL618" t="s">
        <v>216</v>
      </c>
      <c r="BM618" t="s">
        <v>8156</v>
      </c>
      <c r="BN618" t="s">
        <v>74</v>
      </c>
      <c r="BO618" t="s">
        <v>250</v>
      </c>
      <c r="BP618" t="s">
        <v>74</v>
      </c>
      <c r="BQ618" t="s">
        <v>74</v>
      </c>
      <c r="BR618" t="s">
        <v>99</v>
      </c>
      <c r="BS618" t="s">
        <v>8165</v>
      </c>
      <c r="BT618" t="str">
        <f>HYPERLINK("https%3A%2F%2Fwww.webofscience.com%2Fwos%2Fwoscc%2Ffull-record%2FWOS:000080572400016","View Full Record in Web of Science")</f>
        <v>View Full Record in Web of Science</v>
      </c>
    </row>
    <row r="619" spans="1:72" x14ac:dyDescent="0.15">
      <c r="A619" t="s">
        <v>72</v>
      </c>
      <c r="B619" t="s">
        <v>8166</v>
      </c>
      <c r="C619" t="s">
        <v>74</v>
      </c>
      <c r="D619" t="s">
        <v>74</v>
      </c>
      <c r="E619" t="s">
        <v>74</v>
      </c>
      <c r="F619" t="s">
        <v>8166</v>
      </c>
      <c r="G619" t="s">
        <v>74</v>
      </c>
      <c r="H619" t="s">
        <v>74</v>
      </c>
      <c r="I619" t="s">
        <v>8167</v>
      </c>
      <c r="J619" t="s">
        <v>5860</v>
      </c>
      <c r="K619" t="s">
        <v>74</v>
      </c>
      <c r="L619" t="s">
        <v>74</v>
      </c>
      <c r="M619" t="s">
        <v>77</v>
      </c>
      <c r="N619" t="s">
        <v>78</v>
      </c>
      <c r="O619" t="s">
        <v>74</v>
      </c>
      <c r="P619" t="s">
        <v>74</v>
      </c>
      <c r="Q619" t="s">
        <v>74</v>
      </c>
      <c r="R619" t="s">
        <v>74</v>
      </c>
      <c r="S619" t="s">
        <v>74</v>
      </c>
      <c r="T619" t="s">
        <v>74</v>
      </c>
      <c r="U619" t="s">
        <v>8168</v>
      </c>
      <c r="V619" t="s">
        <v>8169</v>
      </c>
      <c r="W619" t="s">
        <v>8170</v>
      </c>
      <c r="X619" t="s">
        <v>8171</v>
      </c>
      <c r="Y619" t="s">
        <v>8172</v>
      </c>
      <c r="Z619" t="s">
        <v>8173</v>
      </c>
      <c r="AA619" t="s">
        <v>74</v>
      </c>
      <c r="AB619" t="s">
        <v>74</v>
      </c>
      <c r="AC619" t="s">
        <v>74</v>
      </c>
      <c r="AD619" t="s">
        <v>74</v>
      </c>
      <c r="AE619" t="s">
        <v>74</v>
      </c>
      <c r="AF619" t="s">
        <v>74</v>
      </c>
      <c r="AG619">
        <v>20</v>
      </c>
      <c r="AH619">
        <v>10</v>
      </c>
      <c r="AI619">
        <v>10</v>
      </c>
      <c r="AJ619">
        <v>0</v>
      </c>
      <c r="AK619">
        <v>1</v>
      </c>
      <c r="AL619" t="s">
        <v>997</v>
      </c>
      <c r="AM619" t="s">
        <v>998</v>
      </c>
      <c r="AN619" t="s">
        <v>999</v>
      </c>
      <c r="AO619" t="s">
        <v>8154</v>
      </c>
      <c r="AP619" t="s">
        <v>8174</v>
      </c>
      <c r="AQ619" t="s">
        <v>74</v>
      </c>
      <c r="AR619" t="s">
        <v>5866</v>
      </c>
      <c r="AS619" t="s">
        <v>5867</v>
      </c>
      <c r="AT619" t="s">
        <v>7623</v>
      </c>
      <c r="AU619">
        <v>1999</v>
      </c>
      <c r="AV619">
        <v>34</v>
      </c>
      <c r="AW619">
        <v>3</v>
      </c>
      <c r="AX619" t="s">
        <v>74</v>
      </c>
      <c r="AY619" t="s">
        <v>74</v>
      </c>
      <c r="AZ619" t="s">
        <v>74</v>
      </c>
      <c r="BA619" t="s">
        <v>74</v>
      </c>
      <c r="BB619">
        <v>475</v>
      </c>
      <c r="BC619">
        <v>478</v>
      </c>
      <c r="BD619" t="s">
        <v>74</v>
      </c>
      <c r="BE619" t="s">
        <v>8175</v>
      </c>
      <c r="BF619" t="str">
        <f>HYPERLINK("http://dx.doi.org/10.1111/j.1945-5100.1999.tb01354.x","http://dx.doi.org/10.1111/j.1945-5100.1999.tb01354.x")</f>
        <v>http://dx.doi.org/10.1111/j.1945-5100.1999.tb01354.x</v>
      </c>
      <c r="BG619" t="s">
        <v>74</v>
      </c>
      <c r="BH619" t="s">
        <v>74</v>
      </c>
      <c r="BI619">
        <v>4</v>
      </c>
      <c r="BJ619" t="s">
        <v>216</v>
      </c>
      <c r="BK619" t="s">
        <v>96</v>
      </c>
      <c r="BL619" t="s">
        <v>216</v>
      </c>
      <c r="BM619" t="s">
        <v>8156</v>
      </c>
      <c r="BN619" t="s">
        <v>74</v>
      </c>
      <c r="BO619" t="s">
        <v>250</v>
      </c>
      <c r="BP619" t="s">
        <v>74</v>
      </c>
      <c r="BQ619" t="s">
        <v>74</v>
      </c>
      <c r="BR619" t="s">
        <v>99</v>
      </c>
      <c r="BS619" t="s">
        <v>8176</v>
      </c>
      <c r="BT619" t="str">
        <f>HYPERLINK("https%3A%2F%2Fwww.webofscience.com%2Fwos%2Fwoscc%2Ffull-record%2FWOS:000080572400018","View Full Record in Web of Science")</f>
        <v>View Full Record in Web of Science</v>
      </c>
    </row>
    <row r="620" spans="1:72" x14ac:dyDescent="0.15">
      <c r="A620" t="s">
        <v>72</v>
      </c>
      <c r="B620" t="s">
        <v>8177</v>
      </c>
      <c r="C620" t="s">
        <v>74</v>
      </c>
      <c r="D620" t="s">
        <v>74</v>
      </c>
      <c r="E620" t="s">
        <v>74</v>
      </c>
      <c r="F620" t="s">
        <v>8177</v>
      </c>
      <c r="G620" t="s">
        <v>74</v>
      </c>
      <c r="H620" t="s">
        <v>74</v>
      </c>
      <c r="I620" t="s">
        <v>8178</v>
      </c>
      <c r="J620" t="s">
        <v>8179</v>
      </c>
      <c r="K620" t="s">
        <v>74</v>
      </c>
      <c r="L620" t="s">
        <v>74</v>
      </c>
      <c r="M620" t="s">
        <v>77</v>
      </c>
      <c r="N620" t="s">
        <v>78</v>
      </c>
      <c r="O620" t="s">
        <v>74</v>
      </c>
      <c r="P620" t="s">
        <v>74</v>
      </c>
      <c r="Q620" t="s">
        <v>74</v>
      </c>
      <c r="R620" t="s">
        <v>74</v>
      </c>
      <c r="S620" t="s">
        <v>74</v>
      </c>
      <c r="T620" t="s">
        <v>8180</v>
      </c>
      <c r="U620" t="s">
        <v>8181</v>
      </c>
      <c r="V620" t="s">
        <v>8182</v>
      </c>
      <c r="W620" t="s">
        <v>8183</v>
      </c>
      <c r="X620" t="s">
        <v>8184</v>
      </c>
      <c r="Y620" t="s">
        <v>8185</v>
      </c>
      <c r="Z620" t="s">
        <v>74</v>
      </c>
      <c r="AA620" t="s">
        <v>74</v>
      </c>
      <c r="AB620" t="s">
        <v>74</v>
      </c>
      <c r="AC620" t="s">
        <v>74</v>
      </c>
      <c r="AD620" t="s">
        <v>74</v>
      </c>
      <c r="AE620" t="s">
        <v>74</v>
      </c>
      <c r="AF620" t="s">
        <v>74</v>
      </c>
      <c r="AG620">
        <v>47</v>
      </c>
      <c r="AH620">
        <v>23</v>
      </c>
      <c r="AI620">
        <v>27</v>
      </c>
      <c r="AJ620">
        <v>1</v>
      </c>
      <c r="AK620">
        <v>3</v>
      </c>
      <c r="AL620" t="s">
        <v>863</v>
      </c>
      <c r="AM620" t="s">
        <v>276</v>
      </c>
      <c r="AN620" t="s">
        <v>864</v>
      </c>
      <c r="AO620" t="s">
        <v>8186</v>
      </c>
      <c r="AP620" t="s">
        <v>74</v>
      </c>
      <c r="AQ620" t="s">
        <v>74</v>
      </c>
      <c r="AR620" t="s">
        <v>8187</v>
      </c>
      <c r="AS620" t="s">
        <v>8188</v>
      </c>
      <c r="AT620" t="s">
        <v>7623</v>
      </c>
      <c r="AU620">
        <v>1999</v>
      </c>
      <c r="AV620">
        <v>8</v>
      </c>
      <c r="AW620">
        <v>5</v>
      </c>
      <c r="AX620" t="s">
        <v>74</v>
      </c>
      <c r="AY620" t="s">
        <v>74</v>
      </c>
      <c r="AZ620" t="s">
        <v>74</v>
      </c>
      <c r="BA620" t="s">
        <v>74</v>
      </c>
      <c r="BB620">
        <v>753</v>
      </c>
      <c r="BC620">
        <v>762</v>
      </c>
      <c r="BD620" t="s">
        <v>74</v>
      </c>
      <c r="BE620" t="s">
        <v>74</v>
      </c>
      <c r="BF620" t="s">
        <v>74</v>
      </c>
      <c r="BG620" t="s">
        <v>74</v>
      </c>
      <c r="BH620" t="s">
        <v>74</v>
      </c>
      <c r="BI620">
        <v>10</v>
      </c>
      <c r="BJ620" t="s">
        <v>3123</v>
      </c>
      <c r="BK620" t="s">
        <v>96</v>
      </c>
      <c r="BL620" t="s">
        <v>3124</v>
      </c>
      <c r="BM620" t="s">
        <v>8189</v>
      </c>
      <c r="BN620" t="s">
        <v>74</v>
      </c>
      <c r="BO620" t="s">
        <v>74</v>
      </c>
      <c r="BP620" t="s">
        <v>74</v>
      </c>
      <c r="BQ620" t="s">
        <v>74</v>
      </c>
      <c r="BR620" t="s">
        <v>99</v>
      </c>
      <c r="BS620" t="s">
        <v>8190</v>
      </c>
      <c r="BT620" t="str">
        <f>HYPERLINK("https%3A%2F%2Fwww.webofscience.com%2Fwos%2Fwoscc%2Ffull-record%2FWOS:000080952900005","View Full Record in Web of Science")</f>
        <v>View Full Record in Web of Science</v>
      </c>
    </row>
    <row r="621" spans="1:72" x14ac:dyDescent="0.15">
      <c r="A621" t="s">
        <v>72</v>
      </c>
      <c r="B621" t="s">
        <v>8191</v>
      </c>
      <c r="C621" t="s">
        <v>74</v>
      </c>
      <c r="D621" t="s">
        <v>74</v>
      </c>
      <c r="E621" t="s">
        <v>74</v>
      </c>
      <c r="F621" t="s">
        <v>8191</v>
      </c>
      <c r="G621" t="s">
        <v>74</v>
      </c>
      <c r="H621" t="s">
        <v>74</v>
      </c>
      <c r="I621" t="s">
        <v>2472</v>
      </c>
      <c r="J621" t="s">
        <v>2473</v>
      </c>
      <c r="K621" t="s">
        <v>74</v>
      </c>
      <c r="L621" t="s">
        <v>74</v>
      </c>
      <c r="M621" t="s">
        <v>77</v>
      </c>
      <c r="N621" t="s">
        <v>123</v>
      </c>
      <c r="O621" t="s">
        <v>8192</v>
      </c>
      <c r="P621" t="s">
        <v>8193</v>
      </c>
      <c r="Q621" t="s">
        <v>8194</v>
      </c>
      <c r="R621" t="s">
        <v>74</v>
      </c>
      <c r="S621" t="s">
        <v>74</v>
      </c>
      <c r="T621" t="s">
        <v>8195</v>
      </c>
      <c r="U621" t="s">
        <v>74</v>
      </c>
      <c r="V621" t="s">
        <v>8196</v>
      </c>
      <c r="W621" t="s">
        <v>8197</v>
      </c>
      <c r="X621" t="s">
        <v>8198</v>
      </c>
      <c r="Y621" t="s">
        <v>8199</v>
      </c>
      <c r="Z621" t="s">
        <v>74</v>
      </c>
      <c r="AA621" t="s">
        <v>74</v>
      </c>
      <c r="AB621" t="s">
        <v>74</v>
      </c>
      <c r="AC621" t="s">
        <v>74</v>
      </c>
      <c r="AD621" t="s">
        <v>74</v>
      </c>
      <c r="AE621" t="s">
        <v>74</v>
      </c>
      <c r="AF621" t="s">
        <v>74</v>
      </c>
      <c r="AG621">
        <v>38</v>
      </c>
      <c r="AH621">
        <v>12</v>
      </c>
      <c r="AI621">
        <v>13</v>
      </c>
      <c r="AJ621">
        <v>0</v>
      </c>
      <c r="AK621">
        <v>4</v>
      </c>
      <c r="AL621" t="s">
        <v>2474</v>
      </c>
      <c r="AM621" t="s">
        <v>2369</v>
      </c>
      <c r="AN621" t="s">
        <v>2475</v>
      </c>
      <c r="AO621" t="s">
        <v>2476</v>
      </c>
      <c r="AP621" t="s">
        <v>74</v>
      </c>
      <c r="AQ621" t="s">
        <v>74</v>
      </c>
      <c r="AR621" t="s">
        <v>2473</v>
      </c>
      <c r="AS621" t="s">
        <v>2477</v>
      </c>
      <c r="AT621" t="s">
        <v>7623</v>
      </c>
      <c r="AU621">
        <v>1999</v>
      </c>
      <c r="AV621">
        <v>44</v>
      </c>
      <c r="AW621">
        <v>5</v>
      </c>
      <c r="AX621" t="s">
        <v>74</v>
      </c>
      <c r="AY621" t="s">
        <v>74</v>
      </c>
      <c r="AZ621" t="s">
        <v>74</v>
      </c>
      <c r="BA621" t="s">
        <v>74</v>
      </c>
      <c r="BB621">
        <v>925</v>
      </c>
      <c r="BC621">
        <v>939</v>
      </c>
      <c r="BD621" t="s">
        <v>74</v>
      </c>
      <c r="BE621" t="s">
        <v>8200</v>
      </c>
      <c r="BF621" t="str">
        <f>HYPERLINK("http://dx.doi.org/10.1097/00006123-199905000-00001","http://dx.doi.org/10.1097/00006123-199905000-00001")</f>
        <v>http://dx.doi.org/10.1097/00006123-199905000-00001</v>
      </c>
      <c r="BG621" t="s">
        <v>74</v>
      </c>
      <c r="BH621" t="s">
        <v>74</v>
      </c>
      <c r="BI621">
        <v>15</v>
      </c>
      <c r="BJ621" t="s">
        <v>2479</v>
      </c>
      <c r="BK621" t="s">
        <v>143</v>
      </c>
      <c r="BL621" t="s">
        <v>2480</v>
      </c>
      <c r="BM621" t="s">
        <v>8201</v>
      </c>
      <c r="BN621">
        <v>10232525</v>
      </c>
      <c r="BO621" t="s">
        <v>74</v>
      </c>
      <c r="BP621" t="s">
        <v>74</v>
      </c>
      <c r="BQ621" t="s">
        <v>74</v>
      </c>
      <c r="BR621" t="s">
        <v>99</v>
      </c>
      <c r="BS621" t="s">
        <v>8202</v>
      </c>
      <c r="BT621" t="str">
        <f>HYPERLINK("https%3A%2F%2Fwww.webofscience.com%2Fwos%2Fwoscc%2Ffull-record%2FWOS:000079903800001","View Full Record in Web of Science")</f>
        <v>View Full Record in Web of Science</v>
      </c>
    </row>
    <row r="622" spans="1:72" x14ac:dyDescent="0.15">
      <c r="A622" t="s">
        <v>72</v>
      </c>
      <c r="B622" t="s">
        <v>8203</v>
      </c>
      <c r="C622" t="s">
        <v>74</v>
      </c>
      <c r="D622" t="s">
        <v>74</v>
      </c>
      <c r="E622" t="s">
        <v>74</v>
      </c>
      <c r="F622" t="s">
        <v>8203</v>
      </c>
      <c r="G622" t="s">
        <v>74</v>
      </c>
      <c r="H622" t="s">
        <v>74</v>
      </c>
      <c r="I622" t="s">
        <v>8204</v>
      </c>
      <c r="J622" t="s">
        <v>2473</v>
      </c>
      <c r="K622" t="s">
        <v>74</v>
      </c>
      <c r="L622" t="s">
        <v>74</v>
      </c>
      <c r="M622" t="s">
        <v>77</v>
      </c>
      <c r="N622" t="s">
        <v>205</v>
      </c>
      <c r="O622" t="s">
        <v>74</v>
      </c>
      <c r="P622" t="s">
        <v>74</v>
      </c>
      <c r="Q622" t="s">
        <v>74</v>
      </c>
      <c r="R622" t="s">
        <v>74</v>
      </c>
      <c r="S622" t="s">
        <v>74</v>
      </c>
      <c r="T622" t="s">
        <v>74</v>
      </c>
      <c r="U622" t="s">
        <v>74</v>
      </c>
      <c r="V622" t="s">
        <v>74</v>
      </c>
      <c r="W622" t="s">
        <v>74</v>
      </c>
      <c r="X622" t="s">
        <v>74</v>
      </c>
      <c r="Y622" t="s">
        <v>74</v>
      </c>
      <c r="Z622" t="s">
        <v>74</v>
      </c>
      <c r="AA622" t="s">
        <v>74</v>
      </c>
      <c r="AB622" t="s">
        <v>74</v>
      </c>
      <c r="AC622" t="s">
        <v>74</v>
      </c>
      <c r="AD622" t="s">
        <v>74</v>
      </c>
      <c r="AE622" t="s">
        <v>74</v>
      </c>
      <c r="AF622" t="s">
        <v>74</v>
      </c>
      <c r="AG622">
        <v>0</v>
      </c>
      <c r="AH622">
        <v>0</v>
      </c>
      <c r="AI622">
        <v>0</v>
      </c>
      <c r="AJ622">
        <v>0</v>
      </c>
      <c r="AK622">
        <v>0</v>
      </c>
      <c r="AL622" t="s">
        <v>2474</v>
      </c>
      <c r="AM622" t="s">
        <v>2369</v>
      </c>
      <c r="AN622" t="s">
        <v>2475</v>
      </c>
      <c r="AO622" t="s">
        <v>2476</v>
      </c>
      <c r="AP622" t="s">
        <v>74</v>
      </c>
      <c r="AQ622" t="s">
        <v>74</v>
      </c>
      <c r="AR622" t="s">
        <v>2473</v>
      </c>
      <c r="AS622" t="s">
        <v>2477</v>
      </c>
      <c r="AT622" t="s">
        <v>7623</v>
      </c>
      <c r="AU622">
        <v>1999</v>
      </c>
      <c r="AV622">
        <v>44</v>
      </c>
      <c r="AW622">
        <v>5</v>
      </c>
      <c r="AX622" t="s">
        <v>74</v>
      </c>
      <c r="AY622" t="s">
        <v>74</v>
      </c>
      <c r="AZ622" t="s">
        <v>74</v>
      </c>
      <c r="BA622" t="s">
        <v>74</v>
      </c>
      <c r="BB622">
        <v>939</v>
      </c>
      <c r="BC622">
        <v>939</v>
      </c>
      <c r="BD622" t="s">
        <v>74</v>
      </c>
      <c r="BE622" t="s">
        <v>8205</v>
      </c>
      <c r="BF622" t="str">
        <f>HYPERLINK("http://dx.doi.org/10.1097/00006123-199905000-00002","http://dx.doi.org/10.1097/00006123-199905000-00002")</f>
        <v>http://dx.doi.org/10.1097/00006123-199905000-00002</v>
      </c>
      <c r="BG622" t="s">
        <v>74</v>
      </c>
      <c r="BH622" t="s">
        <v>74</v>
      </c>
      <c r="BI622">
        <v>1</v>
      </c>
      <c r="BJ622" t="s">
        <v>2479</v>
      </c>
      <c r="BK622" t="s">
        <v>96</v>
      </c>
      <c r="BL622" t="s">
        <v>2480</v>
      </c>
      <c r="BM622" t="s">
        <v>8201</v>
      </c>
      <c r="BN622" t="s">
        <v>74</v>
      </c>
      <c r="BO622" t="s">
        <v>74</v>
      </c>
      <c r="BP622" t="s">
        <v>74</v>
      </c>
      <c r="BQ622" t="s">
        <v>74</v>
      </c>
      <c r="BR622" t="s">
        <v>99</v>
      </c>
      <c r="BS622" t="s">
        <v>8206</v>
      </c>
      <c r="BT622" t="str">
        <f>HYPERLINK("https%3A%2F%2Fwww.webofscience.com%2Fwos%2Fwoscc%2Ffull-record%2FWOS:000079903800002","View Full Record in Web of Science")</f>
        <v>View Full Record in Web of Science</v>
      </c>
    </row>
    <row r="623" spans="1:72" x14ac:dyDescent="0.15">
      <c r="A623" t="s">
        <v>72</v>
      </c>
      <c r="B623" t="s">
        <v>8207</v>
      </c>
      <c r="C623" t="s">
        <v>74</v>
      </c>
      <c r="D623" t="s">
        <v>74</v>
      </c>
      <c r="E623" t="s">
        <v>74</v>
      </c>
      <c r="F623" t="s">
        <v>8207</v>
      </c>
      <c r="G623" t="s">
        <v>74</v>
      </c>
      <c r="H623" t="s">
        <v>74</v>
      </c>
      <c r="I623" t="s">
        <v>8204</v>
      </c>
      <c r="J623" t="s">
        <v>2473</v>
      </c>
      <c r="K623" t="s">
        <v>74</v>
      </c>
      <c r="L623" t="s">
        <v>74</v>
      </c>
      <c r="M623" t="s">
        <v>77</v>
      </c>
      <c r="N623" t="s">
        <v>205</v>
      </c>
      <c r="O623" t="s">
        <v>74</v>
      </c>
      <c r="P623" t="s">
        <v>74</v>
      </c>
      <c r="Q623" t="s">
        <v>74</v>
      </c>
      <c r="R623" t="s">
        <v>74</v>
      </c>
      <c r="S623" t="s">
        <v>74</v>
      </c>
      <c r="T623" t="s">
        <v>74</v>
      </c>
      <c r="U623" t="s">
        <v>74</v>
      </c>
      <c r="V623" t="s">
        <v>74</v>
      </c>
      <c r="W623" t="s">
        <v>74</v>
      </c>
      <c r="X623" t="s">
        <v>74</v>
      </c>
      <c r="Y623" t="s">
        <v>74</v>
      </c>
      <c r="Z623" t="s">
        <v>74</v>
      </c>
      <c r="AA623" t="s">
        <v>74</v>
      </c>
      <c r="AB623" t="s">
        <v>74</v>
      </c>
      <c r="AC623" t="s">
        <v>74</v>
      </c>
      <c r="AD623" t="s">
        <v>74</v>
      </c>
      <c r="AE623" t="s">
        <v>74</v>
      </c>
      <c r="AF623" t="s">
        <v>74</v>
      </c>
      <c r="AG623">
        <v>0</v>
      </c>
      <c r="AH623">
        <v>0</v>
      </c>
      <c r="AI623">
        <v>0</v>
      </c>
      <c r="AJ623">
        <v>0</v>
      </c>
      <c r="AK623">
        <v>0</v>
      </c>
      <c r="AL623" t="s">
        <v>2474</v>
      </c>
      <c r="AM623" t="s">
        <v>2369</v>
      </c>
      <c r="AN623" t="s">
        <v>2475</v>
      </c>
      <c r="AO623" t="s">
        <v>2476</v>
      </c>
      <c r="AP623" t="s">
        <v>74</v>
      </c>
      <c r="AQ623" t="s">
        <v>74</v>
      </c>
      <c r="AR623" t="s">
        <v>2473</v>
      </c>
      <c r="AS623" t="s">
        <v>2477</v>
      </c>
      <c r="AT623" t="s">
        <v>7623</v>
      </c>
      <c r="AU623">
        <v>1999</v>
      </c>
      <c r="AV623">
        <v>44</v>
      </c>
      <c r="AW623">
        <v>5</v>
      </c>
      <c r="AX623" t="s">
        <v>74</v>
      </c>
      <c r="AY623" t="s">
        <v>74</v>
      </c>
      <c r="AZ623" t="s">
        <v>74</v>
      </c>
      <c r="BA623" t="s">
        <v>74</v>
      </c>
      <c r="BB623">
        <v>939</v>
      </c>
      <c r="BC623">
        <v>940</v>
      </c>
      <c r="BD623" t="s">
        <v>74</v>
      </c>
      <c r="BE623" t="s">
        <v>8208</v>
      </c>
      <c r="BF623" t="str">
        <f>HYPERLINK("http://dx.doi.org/10.1097/00006123-199905000-00004","http://dx.doi.org/10.1097/00006123-199905000-00004")</f>
        <v>http://dx.doi.org/10.1097/00006123-199905000-00004</v>
      </c>
      <c r="BG623" t="s">
        <v>74</v>
      </c>
      <c r="BH623" t="s">
        <v>74</v>
      </c>
      <c r="BI623">
        <v>2</v>
      </c>
      <c r="BJ623" t="s">
        <v>2479</v>
      </c>
      <c r="BK623" t="s">
        <v>96</v>
      </c>
      <c r="BL623" t="s">
        <v>2480</v>
      </c>
      <c r="BM623" t="s">
        <v>8201</v>
      </c>
      <c r="BN623" t="s">
        <v>74</v>
      </c>
      <c r="BO623" t="s">
        <v>74</v>
      </c>
      <c r="BP623" t="s">
        <v>74</v>
      </c>
      <c r="BQ623" t="s">
        <v>74</v>
      </c>
      <c r="BR623" t="s">
        <v>99</v>
      </c>
      <c r="BS623" t="s">
        <v>8209</v>
      </c>
      <c r="BT623" t="str">
        <f>HYPERLINK("https%3A%2F%2Fwww.webofscience.com%2Fwos%2Fwoscc%2Ffull-record%2FWOS:000079903800004","View Full Record in Web of Science")</f>
        <v>View Full Record in Web of Science</v>
      </c>
    </row>
    <row r="624" spans="1:72" x14ac:dyDescent="0.15">
      <c r="A624" t="s">
        <v>72</v>
      </c>
      <c r="B624" t="s">
        <v>8210</v>
      </c>
      <c r="C624" t="s">
        <v>74</v>
      </c>
      <c r="D624" t="s">
        <v>74</v>
      </c>
      <c r="E624" t="s">
        <v>74</v>
      </c>
      <c r="F624" t="s">
        <v>8210</v>
      </c>
      <c r="G624" t="s">
        <v>74</v>
      </c>
      <c r="H624" t="s">
        <v>74</v>
      </c>
      <c r="I624" t="s">
        <v>8204</v>
      </c>
      <c r="J624" t="s">
        <v>2473</v>
      </c>
      <c r="K624" t="s">
        <v>74</v>
      </c>
      <c r="L624" t="s">
        <v>74</v>
      </c>
      <c r="M624" t="s">
        <v>77</v>
      </c>
      <c r="N624" t="s">
        <v>205</v>
      </c>
      <c r="O624" t="s">
        <v>74</v>
      </c>
      <c r="P624" t="s">
        <v>74</v>
      </c>
      <c r="Q624" t="s">
        <v>74</v>
      </c>
      <c r="R624" t="s">
        <v>74</v>
      </c>
      <c r="S624" t="s">
        <v>74</v>
      </c>
      <c r="T624" t="s">
        <v>74</v>
      </c>
      <c r="U624" t="s">
        <v>74</v>
      </c>
      <c r="V624" t="s">
        <v>74</v>
      </c>
      <c r="W624" t="s">
        <v>74</v>
      </c>
      <c r="X624" t="s">
        <v>74</v>
      </c>
      <c r="Y624" t="s">
        <v>74</v>
      </c>
      <c r="Z624" t="s">
        <v>74</v>
      </c>
      <c r="AA624" t="s">
        <v>74</v>
      </c>
      <c r="AB624" t="s">
        <v>74</v>
      </c>
      <c r="AC624" t="s">
        <v>74</v>
      </c>
      <c r="AD624" t="s">
        <v>74</v>
      </c>
      <c r="AE624" t="s">
        <v>74</v>
      </c>
      <c r="AF624" t="s">
        <v>74</v>
      </c>
      <c r="AG624">
        <v>0</v>
      </c>
      <c r="AH624">
        <v>0</v>
      </c>
      <c r="AI624">
        <v>0</v>
      </c>
      <c r="AJ624">
        <v>0</v>
      </c>
      <c r="AK624">
        <v>0</v>
      </c>
      <c r="AL624" t="s">
        <v>2474</v>
      </c>
      <c r="AM624" t="s">
        <v>2369</v>
      </c>
      <c r="AN624" t="s">
        <v>2475</v>
      </c>
      <c r="AO624" t="s">
        <v>2476</v>
      </c>
      <c r="AP624" t="s">
        <v>74</v>
      </c>
      <c r="AQ624" t="s">
        <v>74</v>
      </c>
      <c r="AR624" t="s">
        <v>2473</v>
      </c>
      <c r="AS624" t="s">
        <v>2477</v>
      </c>
      <c r="AT624" t="s">
        <v>7623</v>
      </c>
      <c r="AU624">
        <v>1999</v>
      </c>
      <c r="AV624">
        <v>44</v>
      </c>
      <c r="AW624">
        <v>5</v>
      </c>
      <c r="AX624" t="s">
        <v>74</v>
      </c>
      <c r="AY624" t="s">
        <v>74</v>
      </c>
      <c r="AZ624" t="s">
        <v>74</v>
      </c>
      <c r="BA624" t="s">
        <v>74</v>
      </c>
      <c r="BB624">
        <v>939</v>
      </c>
      <c r="BC624">
        <v>939</v>
      </c>
      <c r="BD624" t="s">
        <v>74</v>
      </c>
      <c r="BE624" t="s">
        <v>8211</v>
      </c>
      <c r="BF624" t="str">
        <f>HYPERLINK("http://dx.doi.org/10.1097/00006123-199905000-00003","http://dx.doi.org/10.1097/00006123-199905000-00003")</f>
        <v>http://dx.doi.org/10.1097/00006123-199905000-00003</v>
      </c>
      <c r="BG624" t="s">
        <v>74</v>
      </c>
      <c r="BH624" t="s">
        <v>74</v>
      </c>
      <c r="BI624">
        <v>1</v>
      </c>
      <c r="BJ624" t="s">
        <v>2479</v>
      </c>
      <c r="BK624" t="s">
        <v>96</v>
      </c>
      <c r="BL624" t="s">
        <v>2480</v>
      </c>
      <c r="BM624" t="s">
        <v>8201</v>
      </c>
      <c r="BN624" t="s">
        <v>74</v>
      </c>
      <c r="BO624" t="s">
        <v>74</v>
      </c>
      <c r="BP624" t="s">
        <v>74</v>
      </c>
      <c r="BQ624" t="s">
        <v>74</v>
      </c>
      <c r="BR624" t="s">
        <v>99</v>
      </c>
      <c r="BS624" t="s">
        <v>8212</v>
      </c>
      <c r="BT624" t="str">
        <f>HYPERLINK("https%3A%2F%2Fwww.webofscience.com%2Fwos%2Fwoscc%2Ffull-record%2FWOS:000079903800003","View Full Record in Web of Science")</f>
        <v>View Full Record in Web of Science</v>
      </c>
    </row>
    <row r="625" spans="1:72" x14ac:dyDescent="0.15">
      <c r="A625" t="s">
        <v>72</v>
      </c>
      <c r="B625" t="s">
        <v>8213</v>
      </c>
      <c r="C625" t="s">
        <v>74</v>
      </c>
      <c r="D625" t="s">
        <v>74</v>
      </c>
      <c r="E625" t="s">
        <v>74</v>
      </c>
      <c r="F625" t="s">
        <v>8213</v>
      </c>
      <c r="G625" t="s">
        <v>74</v>
      </c>
      <c r="H625" t="s">
        <v>74</v>
      </c>
      <c r="I625" t="s">
        <v>8214</v>
      </c>
      <c r="J625" t="s">
        <v>8215</v>
      </c>
      <c r="K625" t="s">
        <v>74</v>
      </c>
      <c r="L625" t="s">
        <v>74</v>
      </c>
      <c r="M625" t="s">
        <v>77</v>
      </c>
      <c r="N625" t="s">
        <v>78</v>
      </c>
      <c r="O625" t="s">
        <v>74</v>
      </c>
      <c r="P625" t="s">
        <v>74</v>
      </c>
      <c r="Q625" t="s">
        <v>74</v>
      </c>
      <c r="R625" t="s">
        <v>74</v>
      </c>
      <c r="S625" t="s">
        <v>74</v>
      </c>
      <c r="T625" t="s">
        <v>8216</v>
      </c>
      <c r="U625" t="s">
        <v>8217</v>
      </c>
      <c r="V625" t="s">
        <v>8218</v>
      </c>
      <c r="W625" t="s">
        <v>8122</v>
      </c>
      <c r="X625" t="s">
        <v>8123</v>
      </c>
      <c r="Y625" t="s">
        <v>8219</v>
      </c>
      <c r="Z625" t="s">
        <v>8220</v>
      </c>
      <c r="AA625" t="s">
        <v>8221</v>
      </c>
      <c r="AB625" t="s">
        <v>8222</v>
      </c>
      <c r="AC625" t="s">
        <v>74</v>
      </c>
      <c r="AD625" t="s">
        <v>74</v>
      </c>
      <c r="AE625" t="s">
        <v>74</v>
      </c>
      <c r="AF625" t="s">
        <v>74</v>
      </c>
      <c r="AG625">
        <v>51</v>
      </c>
      <c r="AH625">
        <v>42</v>
      </c>
      <c r="AI625">
        <v>48</v>
      </c>
      <c r="AJ625">
        <v>2</v>
      </c>
      <c r="AK625">
        <v>20</v>
      </c>
      <c r="AL625" t="s">
        <v>997</v>
      </c>
      <c r="AM625" t="s">
        <v>998</v>
      </c>
      <c r="AN625" t="s">
        <v>999</v>
      </c>
      <c r="AO625" t="s">
        <v>8223</v>
      </c>
      <c r="AP625" t="s">
        <v>8224</v>
      </c>
      <c r="AQ625" t="s">
        <v>74</v>
      </c>
      <c r="AR625" t="s">
        <v>8225</v>
      </c>
      <c r="AS625" t="s">
        <v>8226</v>
      </c>
      <c r="AT625" t="s">
        <v>7623</v>
      </c>
      <c r="AU625">
        <v>1999</v>
      </c>
      <c r="AV625">
        <v>142</v>
      </c>
      <c r="AW625">
        <v>2</v>
      </c>
      <c r="AX625" t="s">
        <v>74</v>
      </c>
      <c r="AY625" t="s">
        <v>74</v>
      </c>
      <c r="AZ625" t="s">
        <v>74</v>
      </c>
      <c r="BA625" t="s">
        <v>74</v>
      </c>
      <c r="BB625">
        <v>315</v>
      </c>
      <c r="BC625">
        <v>323</v>
      </c>
      <c r="BD625" t="s">
        <v>74</v>
      </c>
      <c r="BE625" t="s">
        <v>8227</v>
      </c>
      <c r="BF625" t="str">
        <f>HYPERLINK("http://dx.doi.org/10.1046/j.1469-8137.1999.00385.x","http://dx.doi.org/10.1046/j.1469-8137.1999.00385.x")</f>
        <v>http://dx.doi.org/10.1046/j.1469-8137.1999.00385.x</v>
      </c>
      <c r="BG625" t="s">
        <v>74</v>
      </c>
      <c r="BH625" t="s">
        <v>74</v>
      </c>
      <c r="BI625">
        <v>9</v>
      </c>
      <c r="BJ625" t="s">
        <v>5977</v>
      </c>
      <c r="BK625" t="s">
        <v>96</v>
      </c>
      <c r="BL625" t="s">
        <v>5977</v>
      </c>
      <c r="BM625" t="s">
        <v>8228</v>
      </c>
      <c r="BN625" t="s">
        <v>74</v>
      </c>
      <c r="BO625" t="s">
        <v>74</v>
      </c>
      <c r="BP625" t="s">
        <v>74</v>
      </c>
      <c r="BQ625" t="s">
        <v>74</v>
      </c>
      <c r="BR625" t="s">
        <v>99</v>
      </c>
      <c r="BS625" t="s">
        <v>8229</v>
      </c>
      <c r="BT625" t="str">
        <f>HYPERLINK("https%3A%2F%2Fwww.webofscience.com%2Fwos%2Fwoscc%2Ffull-record%2FWOS:000081001100012","View Full Record in Web of Science")</f>
        <v>View Full Record in Web of Science</v>
      </c>
    </row>
    <row r="626" spans="1:72" x14ac:dyDescent="0.15">
      <c r="A626" t="s">
        <v>72</v>
      </c>
      <c r="B626" t="s">
        <v>8230</v>
      </c>
      <c r="C626" t="s">
        <v>74</v>
      </c>
      <c r="D626" t="s">
        <v>74</v>
      </c>
      <c r="E626" t="s">
        <v>74</v>
      </c>
      <c r="F626" t="s">
        <v>8230</v>
      </c>
      <c r="G626" t="s">
        <v>74</v>
      </c>
      <c r="H626" t="s">
        <v>74</v>
      </c>
      <c r="I626" t="s">
        <v>8231</v>
      </c>
      <c r="J626" t="s">
        <v>1324</v>
      </c>
      <c r="K626" t="s">
        <v>74</v>
      </c>
      <c r="L626" t="s">
        <v>74</v>
      </c>
      <c r="M626" t="s">
        <v>845</v>
      </c>
      <c r="N626" t="s">
        <v>78</v>
      </c>
      <c r="O626" t="s">
        <v>74</v>
      </c>
      <c r="P626" t="s">
        <v>74</v>
      </c>
      <c r="Q626" t="s">
        <v>74</v>
      </c>
      <c r="R626" t="s">
        <v>74</v>
      </c>
      <c r="S626" t="s">
        <v>74</v>
      </c>
      <c r="T626" t="s">
        <v>74</v>
      </c>
      <c r="U626" t="s">
        <v>8232</v>
      </c>
      <c r="V626" t="s">
        <v>8233</v>
      </c>
      <c r="W626" t="s">
        <v>8234</v>
      </c>
      <c r="X626" t="s">
        <v>8235</v>
      </c>
      <c r="Y626" t="s">
        <v>8236</v>
      </c>
      <c r="Z626" t="s">
        <v>74</v>
      </c>
      <c r="AA626" t="s">
        <v>74</v>
      </c>
      <c r="AB626" t="s">
        <v>74</v>
      </c>
      <c r="AC626" t="s">
        <v>74</v>
      </c>
      <c r="AD626" t="s">
        <v>74</v>
      </c>
      <c r="AE626" t="s">
        <v>74</v>
      </c>
      <c r="AF626" t="s">
        <v>74</v>
      </c>
      <c r="AG626">
        <v>34</v>
      </c>
      <c r="AH626">
        <v>3</v>
      </c>
      <c r="AI626">
        <v>4</v>
      </c>
      <c r="AJ626">
        <v>0</v>
      </c>
      <c r="AK626">
        <v>0</v>
      </c>
      <c r="AL626" t="s">
        <v>849</v>
      </c>
      <c r="AM626" t="s">
        <v>850</v>
      </c>
      <c r="AN626" t="s">
        <v>851</v>
      </c>
      <c r="AO626" t="s">
        <v>1330</v>
      </c>
      <c r="AP626" t="s">
        <v>74</v>
      </c>
      <c r="AQ626" t="s">
        <v>74</v>
      </c>
      <c r="AR626" t="s">
        <v>1331</v>
      </c>
      <c r="AS626" t="s">
        <v>1332</v>
      </c>
      <c r="AT626" t="s">
        <v>7924</v>
      </c>
      <c r="AU626">
        <v>1999</v>
      </c>
      <c r="AV626">
        <v>39</v>
      </c>
      <c r="AW626">
        <v>3</v>
      </c>
      <c r="AX626" t="s">
        <v>74</v>
      </c>
      <c r="AY626" t="s">
        <v>74</v>
      </c>
      <c r="AZ626" t="s">
        <v>74</v>
      </c>
      <c r="BA626" t="s">
        <v>74</v>
      </c>
      <c r="BB626">
        <v>395</v>
      </c>
      <c r="BC626">
        <v>405</v>
      </c>
      <c r="BD626" t="s">
        <v>74</v>
      </c>
      <c r="BE626" t="s">
        <v>74</v>
      </c>
      <c r="BF626" t="s">
        <v>74</v>
      </c>
      <c r="BG626" t="s">
        <v>74</v>
      </c>
      <c r="BH626" t="s">
        <v>74</v>
      </c>
      <c r="BI626">
        <v>11</v>
      </c>
      <c r="BJ626" t="s">
        <v>416</v>
      </c>
      <c r="BK626" t="s">
        <v>96</v>
      </c>
      <c r="BL626" t="s">
        <v>416</v>
      </c>
      <c r="BM626" t="s">
        <v>8237</v>
      </c>
      <c r="BN626" t="s">
        <v>74</v>
      </c>
      <c r="BO626" t="s">
        <v>74</v>
      </c>
      <c r="BP626" t="s">
        <v>74</v>
      </c>
      <c r="BQ626" t="s">
        <v>74</v>
      </c>
      <c r="BR626" t="s">
        <v>99</v>
      </c>
      <c r="BS626" t="s">
        <v>8238</v>
      </c>
      <c r="BT626" t="str">
        <f>HYPERLINK("https%3A%2F%2Fwww.webofscience.com%2Fwos%2Fwoscc%2Ffull-record%2FWOS:000081896000010","View Full Record in Web of Science")</f>
        <v>View Full Record in Web of Science</v>
      </c>
    </row>
    <row r="627" spans="1:72" x14ac:dyDescent="0.15">
      <c r="A627" t="s">
        <v>72</v>
      </c>
      <c r="B627" t="s">
        <v>8239</v>
      </c>
      <c r="C627" t="s">
        <v>74</v>
      </c>
      <c r="D627" t="s">
        <v>74</v>
      </c>
      <c r="E627" t="s">
        <v>74</v>
      </c>
      <c r="F627" t="s">
        <v>8239</v>
      </c>
      <c r="G627" t="s">
        <v>74</v>
      </c>
      <c r="H627" t="s">
        <v>74</v>
      </c>
      <c r="I627" t="s">
        <v>8240</v>
      </c>
      <c r="J627" t="s">
        <v>1375</v>
      </c>
      <c r="K627" t="s">
        <v>74</v>
      </c>
      <c r="L627" t="s">
        <v>74</v>
      </c>
      <c r="M627" t="s">
        <v>77</v>
      </c>
      <c r="N627" t="s">
        <v>78</v>
      </c>
      <c r="O627" t="s">
        <v>74</v>
      </c>
      <c r="P627" t="s">
        <v>74</v>
      </c>
      <c r="Q627" t="s">
        <v>74</v>
      </c>
      <c r="R627" t="s">
        <v>74</v>
      </c>
      <c r="S627" t="s">
        <v>74</v>
      </c>
      <c r="T627" t="s">
        <v>74</v>
      </c>
      <c r="U627" t="s">
        <v>8241</v>
      </c>
      <c r="V627" t="s">
        <v>8242</v>
      </c>
      <c r="W627" t="s">
        <v>8243</v>
      </c>
      <c r="X627" t="s">
        <v>8244</v>
      </c>
      <c r="Y627" t="s">
        <v>8245</v>
      </c>
      <c r="Z627" t="s">
        <v>74</v>
      </c>
      <c r="AA627" t="s">
        <v>8246</v>
      </c>
      <c r="AB627" t="s">
        <v>8247</v>
      </c>
      <c r="AC627" t="s">
        <v>74</v>
      </c>
      <c r="AD627" t="s">
        <v>74</v>
      </c>
      <c r="AE627" t="s">
        <v>74</v>
      </c>
      <c r="AF627" t="s">
        <v>74</v>
      </c>
      <c r="AG627">
        <v>36</v>
      </c>
      <c r="AH627">
        <v>41</v>
      </c>
      <c r="AI627">
        <v>44</v>
      </c>
      <c r="AJ627">
        <v>0</v>
      </c>
      <c r="AK627">
        <v>6</v>
      </c>
      <c r="AL627" t="s">
        <v>553</v>
      </c>
      <c r="AM627" t="s">
        <v>554</v>
      </c>
      <c r="AN627" t="s">
        <v>555</v>
      </c>
      <c r="AO627" t="s">
        <v>1379</v>
      </c>
      <c r="AP627" t="s">
        <v>74</v>
      </c>
      <c r="AQ627" t="s">
        <v>74</v>
      </c>
      <c r="AR627" t="s">
        <v>1380</v>
      </c>
      <c r="AS627" t="s">
        <v>1381</v>
      </c>
      <c r="AT627" t="s">
        <v>7623</v>
      </c>
      <c r="AU627">
        <v>1999</v>
      </c>
      <c r="AV627">
        <v>21</v>
      </c>
      <c r="AW627">
        <v>5</v>
      </c>
      <c r="AX627" t="s">
        <v>74</v>
      </c>
      <c r="AY627" t="s">
        <v>74</v>
      </c>
      <c r="AZ627" t="s">
        <v>74</v>
      </c>
      <c r="BA627" t="s">
        <v>74</v>
      </c>
      <c r="BB627">
        <v>279</v>
      </c>
      <c r="BC627">
        <v>284</v>
      </c>
      <c r="BD627" t="s">
        <v>74</v>
      </c>
      <c r="BE627" t="s">
        <v>8248</v>
      </c>
      <c r="BF627" t="str">
        <f>HYPERLINK("http://dx.doi.org/10.1007/s003000050363","http://dx.doi.org/10.1007/s003000050363")</f>
        <v>http://dx.doi.org/10.1007/s003000050363</v>
      </c>
      <c r="BG627" t="s">
        <v>74</v>
      </c>
      <c r="BH627" t="s">
        <v>74</v>
      </c>
      <c r="BI627">
        <v>6</v>
      </c>
      <c r="BJ627" t="s">
        <v>1383</v>
      </c>
      <c r="BK627" t="s">
        <v>96</v>
      </c>
      <c r="BL627" t="s">
        <v>1384</v>
      </c>
      <c r="BM627" t="s">
        <v>8249</v>
      </c>
      <c r="BN627" t="s">
        <v>74</v>
      </c>
      <c r="BO627" t="s">
        <v>74</v>
      </c>
      <c r="BP627" t="s">
        <v>74</v>
      </c>
      <c r="BQ627" t="s">
        <v>74</v>
      </c>
      <c r="BR627" t="s">
        <v>99</v>
      </c>
      <c r="BS627" t="s">
        <v>8250</v>
      </c>
      <c r="BT627" t="str">
        <f>HYPERLINK("https%3A%2F%2Fwww.webofscience.com%2Fwos%2Fwoscc%2Ffull-record%2FWOS:000080166800002","View Full Record in Web of Science")</f>
        <v>View Full Record in Web of Science</v>
      </c>
    </row>
    <row r="628" spans="1:72" x14ac:dyDescent="0.15">
      <c r="A628" t="s">
        <v>72</v>
      </c>
      <c r="B628" t="s">
        <v>8251</v>
      </c>
      <c r="C628" t="s">
        <v>74</v>
      </c>
      <c r="D628" t="s">
        <v>74</v>
      </c>
      <c r="E628" t="s">
        <v>74</v>
      </c>
      <c r="F628" t="s">
        <v>8251</v>
      </c>
      <c r="G628" t="s">
        <v>74</v>
      </c>
      <c r="H628" t="s">
        <v>74</v>
      </c>
      <c r="I628" t="s">
        <v>8252</v>
      </c>
      <c r="J628" t="s">
        <v>1375</v>
      </c>
      <c r="K628" t="s">
        <v>74</v>
      </c>
      <c r="L628" t="s">
        <v>74</v>
      </c>
      <c r="M628" t="s">
        <v>77</v>
      </c>
      <c r="N628" t="s">
        <v>78</v>
      </c>
      <c r="O628" t="s">
        <v>74</v>
      </c>
      <c r="P628" t="s">
        <v>74</v>
      </c>
      <c r="Q628" t="s">
        <v>74</v>
      </c>
      <c r="R628" t="s">
        <v>74</v>
      </c>
      <c r="S628" t="s">
        <v>74</v>
      </c>
      <c r="T628" t="s">
        <v>74</v>
      </c>
      <c r="U628" t="s">
        <v>8253</v>
      </c>
      <c r="V628" t="s">
        <v>8254</v>
      </c>
      <c r="W628" t="s">
        <v>8255</v>
      </c>
      <c r="X628" t="s">
        <v>8256</v>
      </c>
      <c r="Y628" t="s">
        <v>8257</v>
      </c>
      <c r="Z628" t="s">
        <v>74</v>
      </c>
      <c r="AA628" t="s">
        <v>74</v>
      </c>
      <c r="AB628" t="s">
        <v>8258</v>
      </c>
      <c r="AC628" t="s">
        <v>74</v>
      </c>
      <c r="AD628" t="s">
        <v>74</v>
      </c>
      <c r="AE628" t="s">
        <v>74</v>
      </c>
      <c r="AF628" t="s">
        <v>74</v>
      </c>
      <c r="AG628">
        <v>72</v>
      </c>
      <c r="AH628">
        <v>18</v>
      </c>
      <c r="AI628">
        <v>20</v>
      </c>
      <c r="AJ628">
        <v>0</v>
      </c>
      <c r="AK628">
        <v>8</v>
      </c>
      <c r="AL628" t="s">
        <v>553</v>
      </c>
      <c r="AM628" t="s">
        <v>554</v>
      </c>
      <c r="AN628" t="s">
        <v>555</v>
      </c>
      <c r="AO628" t="s">
        <v>1379</v>
      </c>
      <c r="AP628" t="s">
        <v>74</v>
      </c>
      <c r="AQ628" t="s">
        <v>74</v>
      </c>
      <c r="AR628" t="s">
        <v>1380</v>
      </c>
      <c r="AS628" t="s">
        <v>1381</v>
      </c>
      <c r="AT628" t="s">
        <v>7623</v>
      </c>
      <c r="AU628">
        <v>1999</v>
      </c>
      <c r="AV628">
        <v>21</v>
      </c>
      <c r="AW628">
        <v>5</v>
      </c>
      <c r="AX628" t="s">
        <v>74</v>
      </c>
      <c r="AY628" t="s">
        <v>74</v>
      </c>
      <c r="AZ628" t="s">
        <v>74</v>
      </c>
      <c r="BA628" t="s">
        <v>74</v>
      </c>
      <c r="BB628">
        <v>285</v>
      </c>
      <c r="BC628">
        <v>294</v>
      </c>
      <c r="BD628" t="s">
        <v>74</v>
      </c>
      <c r="BE628" t="s">
        <v>8259</v>
      </c>
      <c r="BF628" t="str">
        <f>HYPERLINK("http://dx.doi.org/10.1007/s003000050364","http://dx.doi.org/10.1007/s003000050364")</f>
        <v>http://dx.doi.org/10.1007/s003000050364</v>
      </c>
      <c r="BG628" t="s">
        <v>74</v>
      </c>
      <c r="BH628" t="s">
        <v>74</v>
      </c>
      <c r="BI628">
        <v>10</v>
      </c>
      <c r="BJ628" t="s">
        <v>1383</v>
      </c>
      <c r="BK628" t="s">
        <v>96</v>
      </c>
      <c r="BL628" t="s">
        <v>1384</v>
      </c>
      <c r="BM628" t="s">
        <v>8249</v>
      </c>
      <c r="BN628">
        <v>11543522</v>
      </c>
      <c r="BO628" t="s">
        <v>74</v>
      </c>
      <c r="BP628" t="s">
        <v>74</v>
      </c>
      <c r="BQ628" t="s">
        <v>74</v>
      </c>
      <c r="BR628" t="s">
        <v>99</v>
      </c>
      <c r="BS628" t="s">
        <v>8260</v>
      </c>
      <c r="BT628" t="str">
        <f>HYPERLINK("https%3A%2F%2Fwww.webofscience.com%2Fwos%2Fwoscc%2Ffull-record%2FWOS:000080166800003","View Full Record in Web of Science")</f>
        <v>View Full Record in Web of Science</v>
      </c>
    </row>
    <row r="629" spans="1:72" x14ac:dyDescent="0.15">
      <c r="A629" t="s">
        <v>72</v>
      </c>
      <c r="B629" t="s">
        <v>8261</v>
      </c>
      <c r="C629" t="s">
        <v>74</v>
      </c>
      <c r="D629" t="s">
        <v>74</v>
      </c>
      <c r="E629" t="s">
        <v>74</v>
      </c>
      <c r="F629" t="s">
        <v>8261</v>
      </c>
      <c r="G629" t="s">
        <v>74</v>
      </c>
      <c r="H629" t="s">
        <v>74</v>
      </c>
      <c r="I629" t="s">
        <v>8262</v>
      </c>
      <c r="J629" t="s">
        <v>1375</v>
      </c>
      <c r="K629" t="s">
        <v>74</v>
      </c>
      <c r="L629" t="s">
        <v>74</v>
      </c>
      <c r="M629" t="s">
        <v>77</v>
      </c>
      <c r="N629" t="s">
        <v>78</v>
      </c>
      <c r="O629" t="s">
        <v>74</v>
      </c>
      <c r="P629" t="s">
        <v>74</v>
      </c>
      <c r="Q629" t="s">
        <v>74</v>
      </c>
      <c r="R629" t="s">
        <v>74</v>
      </c>
      <c r="S629" t="s">
        <v>74</v>
      </c>
      <c r="T629" t="s">
        <v>74</v>
      </c>
      <c r="U629" t="s">
        <v>8263</v>
      </c>
      <c r="V629" t="s">
        <v>8264</v>
      </c>
      <c r="W629" t="s">
        <v>8265</v>
      </c>
      <c r="X629" t="s">
        <v>1222</v>
      </c>
      <c r="Y629" t="s">
        <v>8266</v>
      </c>
      <c r="Z629" t="s">
        <v>74</v>
      </c>
      <c r="AA629" t="s">
        <v>74</v>
      </c>
      <c r="AB629" t="s">
        <v>8267</v>
      </c>
      <c r="AC629" t="s">
        <v>74</v>
      </c>
      <c r="AD629" t="s">
        <v>74</v>
      </c>
      <c r="AE629" t="s">
        <v>74</v>
      </c>
      <c r="AF629" t="s">
        <v>74</v>
      </c>
      <c r="AG629">
        <v>48</v>
      </c>
      <c r="AH629">
        <v>26</v>
      </c>
      <c r="AI629">
        <v>30</v>
      </c>
      <c r="AJ629">
        <v>0</v>
      </c>
      <c r="AK629">
        <v>5</v>
      </c>
      <c r="AL629" t="s">
        <v>553</v>
      </c>
      <c r="AM629" t="s">
        <v>554</v>
      </c>
      <c r="AN629" t="s">
        <v>555</v>
      </c>
      <c r="AO629" t="s">
        <v>1379</v>
      </c>
      <c r="AP629" t="s">
        <v>74</v>
      </c>
      <c r="AQ629" t="s">
        <v>74</v>
      </c>
      <c r="AR629" t="s">
        <v>1380</v>
      </c>
      <c r="AS629" t="s">
        <v>1381</v>
      </c>
      <c r="AT629" t="s">
        <v>7623</v>
      </c>
      <c r="AU629">
        <v>1999</v>
      </c>
      <c r="AV629">
        <v>21</v>
      </c>
      <c r="AW629">
        <v>5</v>
      </c>
      <c r="AX629" t="s">
        <v>74</v>
      </c>
      <c r="AY629" t="s">
        <v>74</v>
      </c>
      <c r="AZ629" t="s">
        <v>74</v>
      </c>
      <c r="BA629" t="s">
        <v>74</v>
      </c>
      <c r="BB629">
        <v>295</v>
      </c>
      <c r="BC629">
        <v>304</v>
      </c>
      <c r="BD629" t="s">
        <v>74</v>
      </c>
      <c r="BE629" t="s">
        <v>8268</v>
      </c>
      <c r="BF629" t="str">
        <f>HYPERLINK("http://dx.doi.org/10.1007/s003000050365","http://dx.doi.org/10.1007/s003000050365")</f>
        <v>http://dx.doi.org/10.1007/s003000050365</v>
      </c>
      <c r="BG629" t="s">
        <v>74</v>
      </c>
      <c r="BH629" t="s">
        <v>74</v>
      </c>
      <c r="BI629">
        <v>10</v>
      </c>
      <c r="BJ629" t="s">
        <v>1383</v>
      </c>
      <c r="BK629" t="s">
        <v>96</v>
      </c>
      <c r="BL629" t="s">
        <v>1384</v>
      </c>
      <c r="BM629" t="s">
        <v>8249</v>
      </c>
      <c r="BN629" t="s">
        <v>74</v>
      </c>
      <c r="BO629" t="s">
        <v>1214</v>
      </c>
      <c r="BP629" t="s">
        <v>74</v>
      </c>
      <c r="BQ629" t="s">
        <v>74</v>
      </c>
      <c r="BR629" t="s">
        <v>99</v>
      </c>
      <c r="BS629" t="s">
        <v>8269</v>
      </c>
      <c r="BT629" t="str">
        <f>HYPERLINK("https%3A%2F%2Fwww.webofscience.com%2Fwos%2Fwoscc%2Ffull-record%2FWOS:000080166800004","View Full Record in Web of Science")</f>
        <v>View Full Record in Web of Science</v>
      </c>
    </row>
    <row r="630" spans="1:72" x14ac:dyDescent="0.15">
      <c r="A630" t="s">
        <v>72</v>
      </c>
      <c r="B630" t="s">
        <v>8030</v>
      </c>
      <c r="C630" t="s">
        <v>74</v>
      </c>
      <c r="D630" t="s">
        <v>74</v>
      </c>
      <c r="E630" t="s">
        <v>74</v>
      </c>
      <c r="F630" t="s">
        <v>8030</v>
      </c>
      <c r="G630" t="s">
        <v>74</v>
      </c>
      <c r="H630" t="s">
        <v>74</v>
      </c>
      <c r="I630" t="s">
        <v>8270</v>
      </c>
      <c r="J630" t="s">
        <v>1375</v>
      </c>
      <c r="K630" t="s">
        <v>74</v>
      </c>
      <c r="L630" t="s">
        <v>74</v>
      </c>
      <c r="M630" t="s">
        <v>77</v>
      </c>
      <c r="N630" t="s">
        <v>78</v>
      </c>
      <c r="O630" t="s">
        <v>74</v>
      </c>
      <c r="P630" t="s">
        <v>74</v>
      </c>
      <c r="Q630" t="s">
        <v>74</v>
      </c>
      <c r="R630" t="s">
        <v>74</v>
      </c>
      <c r="S630" t="s">
        <v>74</v>
      </c>
      <c r="T630" t="s">
        <v>74</v>
      </c>
      <c r="U630" t="s">
        <v>8271</v>
      </c>
      <c r="V630" t="s">
        <v>8272</v>
      </c>
      <c r="W630" t="s">
        <v>8036</v>
      </c>
      <c r="X630" t="s">
        <v>8037</v>
      </c>
      <c r="Y630" t="s">
        <v>8038</v>
      </c>
      <c r="Z630" t="s">
        <v>74</v>
      </c>
      <c r="AA630" t="s">
        <v>8039</v>
      </c>
      <c r="AB630" t="s">
        <v>8040</v>
      </c>
      <c r="AC630" t="s">
        <v>74</v>
      </c>
      <c r="AD630" t="s">
        <v>74</v>
      </c>
      <c r="AE630" t="s">
        <v>74</v>
      </c>
      <c r="AF630" t="s">
        <v>74</v>
      </c>
      <c r="AG630">
        <v>18</v>
      </c>
      <c r="AH630">
        <v>46</v>
      </c>
      <c r="AI630">
        <v>51</v>
      </c>
      <c r="AJ630">
        <v>0</v>
      </c>
      <c r="AK630">
        <v>15</v>
      </c>
      <c r="AL630" t="s">
        <v>553</v>
      </c>
      <c r="AM630" t="s">
        <v>554</v>
      </c>
      <c r="AN630" t="s">
        <v>555</v>
      </c>
      <c r="AO630" t="s">
        <v>1379</v>
      </c>
      <c r="AP630" t="s">
        <v>74</v>
      </c>
      <c r="AQ630" t="s">
        <v>74</v>
      </c>
      <c r="AR630" t="s">
        <v>1380</v>
      </c>
      <c r="AS630" t="s">
        <v>1381</v>
      </c>
      <c r="AT630" t="s">
        <v>7623</v>
      </c>
      <c r="AU630">
        <v>1999</v>
      </c>
      <c r="AV630">
        <v>21</v>
      </c>
      <c r="AW630">
        <v>5</v>
      </c>
      <c r="AX630" t="s">
        <v>74</v>
      </c>
      <c r="AY630" t="s">
        <v>74</v>
      </c>
      <c r="AZ630" t="s">
        <v>74</v>
      </c>
      <c r="BA630" t="s">
        <v>74</v>
      </c>
      <c r="BB630">
        <v>305</v>
      </c>
      <c r="BC630">
        <v>309</v>
      </c>
      <c r="BD630" t="s">
        <v>74</v>
      </c>
      <c r="BE630" t="s">
        <v>8273</v>
      </c>
      <c r="BF630" t="str">
        <f>HYPERLINK("http://dx.doi.org/10.1007/s003000050366","http://dx.doi.org/10.1007/s003000050366")</f>
        <v>http://dx.doi.org/10.1007/s003000050366</v>
      </c>
      <c r="BG630" t="s">
        <v>74</v>
      </c>
      <c r="BH630" t="s">
        <v>74</v>
      </c>
      <c r="BI630">
        <v>5</v>
      </c>
      <c r="BJ630" t="s">
        <v>1383</v>
      </c>
      <c r="BK630" t="s">
        <v>96</v>
      </c>
      <c r="BL630" t="s">
        <v>1384</v>
      </c>
      <c r="BM630" t="s">
        <v>8249</v>
      </c>
      <c r="BN630" t="s">
        <v>74</v>
      </c>
      <c r="BO630" t="s">
        <v>74</v>
      </c>
      <c r="BP630" t="s">
        <v>74</v>
      </c>
      <c r="BQ630" t="s">
        <v>74</v>
      </c>
      <c r="BR630" t="s">
        <v>99</v>
      </c>
      <c r="BS630" t="s">
        <v>8274</v>
      </c>
      <c r="BT630" t="str">
        <f>HYPERLINK("https%3A%2F%2Fwww.webofscience.com%2Fwos%2Fwoscc%2Ffull-record%2FWOS:000080166800005","View Full Record in Web of Science")</f>
        <v>View Full Record in Web of Science</v>
      </c>
    </row>
    <row r="631" spans="1:72" x14ac:dyDescent="0.15">
      <c r="A631" t="s">
        <v>72</v>
      </c>
      <c r="B631" t="s">
        <v>8275</v>
      </c>
      <c r="C631" t="s">
        <v>74</v>
      </c>
      <c r="D631" t="s">
        <v>74</v>
      </c>
      <c r="E631" t="s">
        <v>74</v>
      </c>
      <c r="F631" t="s">
        <v>8275</v>
      </c>
      <c r="G631" t="s">
        <v>74</v>
      </c>
      <c r="H631" t="s">
        <v>74</v>
      </c>
      <c r="I631" t="s">
        <v>8276</v>
      </c>
      <c r="J631" t="s">
        <v>1375</v>
      </c>
      <c r="K631" t="s">
        <v>74</v>
      </c>
      <c r="L631" t="s">
        <v>74</v>
      </c>
      <c r="M631" t="s">
        <v>77</v>
      </c>
      <c r="N631" t="s">
        <v>78</v>
      </c>
      <c r="O631" t="s">
        <v>74</v>
      </c>
      <c r="P631" t="s">
        <v>74</v>
      </c>
      <c r="Q631" t="s">
        <v>74</v>
      </c>
      <c r="R631" t="s">
        <v>74</v>
      </c>
      <c r="S631" t="s">
        <v>74</v>
      </c>
      <c r="T631" t="s">
        <v>74</v>
      </c>
      <c r="U631" t="s">
        <v>8277</v>
      </c>
      <c r="V631" t="s">
        <v>8278</v>
      </c>
      <c r="W631" t="s">
        <v>8279</v>
      </c>
      <c r="X631" t="s">
        <v>3196</v>
      </c>
      <c r="Y631" t="s">
        <v>8280</v>
      </c>
      <c r="Z631" t="s">
        <v>74</v>
      </c>
      <c r="AA631" t="s">
        <v>8281</v>
      </c>
      <c r="AB631" t="s">
        <v>8282</v>
      </c>
      <c r="AC631" t="s">
        <v>74</v>
      </c>
      <c r="AD631" t="s">
        <v>74</v>
      </c>
      <c r="AE631" t="s">
        <v>74</v>
      </c>
      <c r="AF631" t="s">
        <v>74</v>
      </c>
      <c r="AG631">
        <v>41</v>
      </c>
      <c r="AH631">
        <v>26</v>
      </c>
      <c r="AI631">
        <v>26</v>
      </c>
      <c r="AJ631">
        <v>1</v>
      </c>
      <c r="AK631">
        <v>7</v>
      </c>
      <c r="AL631" t="s">
        <v>553</v>
      </c>
      <c r="AM631" t="s">
        <v>554</v>
      </c>
      <c r="AN631" t="s">
        <v>555</v>
      </c>
      <c r="AO631" t="s">
        <v>1379</v>
      </c>
      <c r="AP631" t="s">
        <v>74</v>
      </c>
      <c r="AQ631" t="s">
        <v>74</v>
      </c>
      <c r="AR631" t="s">
        <v>1380</v>
      </c>
      <c r="AS631" t="s">
        <v>1381</v>
      </c>
      <c r="AT631" t="s">
        <v>7623</v>
      </c>
      <c r="AU631">
        <v>1999</v>
      </c>
      <c r="AV631">
        <v>21</v>
      </c>
      <c r="AW631">
        <v>5</v>
      </c>
      <c r="AX631" t="s">
        <v>74</v>
      </c>
      <c r="AY631" t="s">
        <v>74</v>
      </c>
      <c r="AZ631" t="s">
        <v>74</v>
      </c>
      <c r="BA631" t="s">
        <v>74</v>
      </c>
      <c r="BB631">
        <v>310</v>
      </c>
      <c r="BC631">
        <v>315</v>
      </c>
      <c r="BD631" t="s">
        <v>74</v>
      </c>
      <c r="BE631" t="s">
        <v>8283</v>
      </c>
      <c r="BF631" t="str">
        <f>HYPERLINK("http://dx.doi.org/10.1007/s003000050367","http://dx.doi.org/10.1007/s003000050367")</f>
        <v>http://dx.doi.org/10.1007/s003000050367</v>
      </c>
      <c r="BG631" t="s">
        <v>74</v>
      </c>
      <c r="BH631" t="s">
        <v>74</v>
      </c>
      <c r="BI631">
        <v>6</v>
      </c>
      <c r="BJ631" t="s">
        <v>1383</v>
      </c>
      <c r="BK631" t="s">
        <v>96</v>
      </c>
      <c r="BL631" t="s">
        <v>1384</v>
      </c>
      <c r="BM631" t="s">
        <v>8249</v>
      </c>
      <c r="BN631" t="s">
        <v>74</v>
      </c>
      <c r="BO631" t="s">
        <v>74</v>
      </c>
      <c r="BP631" t="s">
        <v>74</v>
      </c>
      <c r="BQ631" t="s">
        <v>74</v>
      </c>
      <c r="BR631" t="s">
        <v>99</v>
      </c>
      <c r="BS631" t="s">
        <v>8284</v>
      </c>
      <c r="BT631" t="str">
        <f>HYPERLINK("https%3A%2F%2Fwww.webofscience.com%2Fwos%2Fwoscc%2Ffull-record%2FWOS:000080166800006","View Full Record in Web of Science")</f>
        <v>View Full Record in Web of Science</v>
      </c>
    </row>
    <row r="632" spans="1:72" x14ac:dyDescent="0.15">
      <c r="A632" t="s">
        <v>72</v>
      </c>
      <c r="B632" t="s">
        <v>8285</v>
      </c>
      <c r="C632" t="s">
        <v>74</v>
      </c>
      <c r="D632" t="s">
        <v>74</v>
      </c>
      <c r="E632" t="s">
        <v>74</v>
      </c>
      <c r="F632" t="s">
        <v>8285</v>
      </c>
      <c r="G632" t="s">
        <v>74</v>
      </c>
      <c r="H632" t="s">
        <v>74</v>
      </c>
      <c r="I632" t="s">
        <v>8286</v>
      </c>
      <c r="J632" t="s">
        <v>1375</v>
      </c>
      <c r="K632" t="s">
        <v>74</v>
      </c>
      <c r="L632" t="s">
        <v>74</v>
      </c>
      <c r="M632" t="s">
        <v>77</v>
      </c>
      <c r="N632" t="s">
        <v>78</v>
      </c>
      <c r="O632" t="s">
        <v>74</v>
      </c>
      <c r="P632" t="s">
        <v>74</v>
      </c>
      <c r="Q632" t="s">
        <v>74</v>
      </c>
      <c r="R632" t="s">
        <v>74</v>
      </c>
      <c r="S632" t="s">
        <v>74</v>
      </c>
      <c r="T632" t="s">
        <v>74</v>
      </c>
      <c r="U632" t="s">
        <v>8287</v>
      </c>
      <c r="V632" t="s">
        <v>8288</v>
      </c>
      <c r="W632" t="s">
        <v>3195</v>
      </c>
      <c r="X632" t="s">
        <v>3196</v>
      </c>
      <c r="Y632" t="s">
        <v>8289</v>
      </c>
      <c r="Z632" t="s">
        <v>74</v>
      </c>
      <c r="AA632" t="s">
        <v>74</v>
      </c>
      <c r="AB632" t="s">
        <v>4394</v>
      </c>
      <c r="AC632" t="s">
        <v>74</v>
      </c>
      <c r="AD632" t="s">
        <v>74</v>
      </c>
      <c r="AE632" t="s">
        <v>74</v>
      </c>
      <c r="AF632" t="s">
        <v>74</v>
      </c>
      <c r="AG632">
        <v>34</v>
      </c>
      <c r="AH632">
        <v>24</v>
      </c>
      <c r="AI632">
        <v>27</v>
      </c>
      <c r="AJ632">
        <v>1</v>
      </c>
      <c r="AK632">
        <v>2</v>
      </c>
      <c r="AL632" t="s">
        <v>553</v>
      </c>
      <c r="AM632" t="s">
        <v>554</v>
      </c>
      <c r="AN632" t="s">
        <v>555</v>
      </c>
      <c r="AO632" t="s">
        <v>1379</v>
      </c>
      <c r="AP632" t="s">
        <v>74</v>
      </c>
      <c r="AQ632" t="s">
        <v>74</v>
      </c>
      <c r="AR632" t="s">
        <v>1380</v>
      </c>
      <c r="AS632" t="s">
        <v>1381</v>
      </c>
      <c r="AT632" t="s">
        <v>7623</v>
      </c>
      <c r="AU632">
        <v>1999</v>
      </c>
      <c r="AV632">
        <v>21</v>
      </c>
      <c r="AW632">
        <v>5</v>
      </c>
      <c r="AX632" t="s">
        <v>74</v>
      </c>
      <c r="AY632" t="s">
        <v>74</v>
      </c>
      <c r="AZ632" t="s">
        <v>74</v>
      </c>
      <c r="BA632" t="s">
        <v>74</v>
      </c>
      <c r="BB632">
        <v>316</v>
      </c>
      <c r="BC632">
        <v>325</v>
      </c>
      <c r="BD632" t="s">
        <v>74</v>
      </c>
      <c r="BE632" t="s">
        <v>8290</v>
      </c>
      <c r="BF632" t="str">
        <f>HYPERLINK("http://dx.doi.org/10.1007/s003000050368","http://dx.doi.org/10.1007/s003000050368")</f>
        <v>http://dx.doi.org/10.1007/s003000050368</v>
      </c>
      <c r="BG632" t="s">
        <v>74</v>
      </c>
      <c r="BH632" t="s">
        <v>74</v>
      </c>
      <c r="BI632">
        <v>10</v>
      </c>
      <c r="BJ632" t="s">
        <v>1383</v>
      </c>
      <c r="BK632" t="s">
        <v>96</v>
      </c>
      <c r="BL632" t="s">
        <v>1384</v>
      </c>
      <c r="BM632" t="s">
        <v>8249</v>
      </c>
      <c r="BN632" t="s">
        <v>74</v>
      </c>
      <c r="BO632" t="s">
        <v>74</v>
      </c>
      <c r="BP632" t="s">
        <v>74</v>
      </c>
      <c r="BQ632" t="s">
        <v>74</v>
      </c>
      <c r="BR632" t="s">
        <v>99</v>
      </c>
      <c r="BS632" t="s">
        <v>8291</v>
      </c>
      <c r="BT632" t="str">
        <f>HYPERLINK("https%3A%2F%2Fwww.webofscience.com%2Fwos%2Fwoscc%2Ffull-record%2FWOS:000080166800007","View Full Record in Web of Science")</f>
        <v>View Full Record in Web of Science</v>
      </c>
    </row>
    <row r="633" spans="1:72" x14ac:dyDescent="0.15">
      <c r="A633" t="s">
        <v>72</v>
      </c>
      <c r="B633" t="s">
        <v>8292</v>
      </c>
      <c r="C633" t="s">
        <v>74</v>
      </c>
      <c r="D633" t="s">
        <v>74</v>
      </c>
      <c r="E633" t="s">
        <v>74</v>
      </c>
      <c r="F633" t="s">
        <v>8292</v>
      </c>
      <c r="G633" t="s">
        <v>74</v>
      </c>
      <c r="H633" t="s">
        <v>74</v>
      </c>
      <c r="I633" t="s">
        <v>8293</v>
      </c>
      <c r="J633" t="s">
        <v>1375</v>
      </c>
      <c r="K633" t="s">
        <v>74</v>
      </c>
      <c r="L633" t="s">
        <v>74</v>
      </c>
      <c r="M633" t="s">
        <v>77</v>
      </c>
      <c r="N633" t="s">
        <v>78</v>
      </c>
      <c r="O633" t="s">
        <v>74</v>
      </c>
      <c r="P633" t="s">
        <v>74</v>
      </c>
      <c r="Q633" t="s">
        <v>74</v>
      </c>
      <c r="R633" t="s">
        <v>74</v>
      </c>
      <c r="S633" t="s">
        <v>74</v>
      </c>
      <c r="T633" t="s">
        <v>74</v>
      </c>
      <c r="U633" t="s">
        <v>74</v>
      </c>
      <c r="V633" t="s">
        <v>8294</v>
      </c>
      <c r="W633" t="s">
        <v>8295</v>
      </c>
      <c r="X633" t="s">
        <v>5518</v>
      </c>
      <c r="Y633" t="s">
        <v>8296</v>
      </c>
      <c r="Z633" t="s">
        <v>74</v>
      </c>
      <c r="AA633" t="s">
        <v>74</v>
      </c>
      <c r="AB633" t="s">
        <v>74</v>
      </c>
      <c r="AC633" t="s">
        <v>74</v>
      </c>
      <c r="AD633" t="s">
        <v>74</v>
      </c>
      <c r="AE633" t="s">
        <v>74</v>
      </c>
      <c r="AF633" t="s">
        <v>74</v>
      </c>
      <c r="AG633">
        <v>17</v>
      </c>
      <c r="AH633">
        <v>11</v>
      </c>
      <c r="AI633">
        <v>13</v>
      </c>
      <c r="AJ633">
        <v>0</v>
      </c>
      <c r="AK633">
        <v>8</v>
      </c>
      <c r="AL633" t="s">
        <v>553</v>
      </c>
      <c r="AM633" t="s">
        <v>554</v>
      </c>
      <c r="AN633" t="s">
        <v>555</v>
      </c>
      <c r="AO633" t="s">
        <v>1379</v>
      </c>
      <c r="AP633" t="s">
        <v>74</v>
      </c>
      <c r="AQ633" t="s">
        <v>74</v>
      </c>
      <c r="AR633" t="s">
        <v>1380</v>
      </c>
      <c r="AS633" t="s">
        <v>1381</v>
      </c>
      <c r="AT633" t="s">
        <v>7623</v>
      </c>
      <c r="AU633">
        <v>1999</v>
      </c>
      <c r="AV633">
        <v>21</v>
      </c>
      <c r="AW633">
        <v>5</v>
      </c>
      <c r="AX633" t="s">
        <v>74</v>
      </c>
      <c r="AY633" t="s">
        <v>74</v>
      </c>
      <c r="AZ633" t="s">
        <v>74</v>
      </c>
      <c r="BA633" t="s">
        <v>74</v>
      </c>
      <c r="BB633">
        <v>326</v>
      </c>
      <c r="BC633">
        <v>334</v>
      </c>
      <c r="BD633" t="s">
        <v>74</v>
      </c>
      <c r="BE633" t="s">
        <v>8297</v>
      </c>
      <c r="BF633" t="str">
        <f>HYPERLINK("http://dx.doi.org/10.1007/s003000050369","http://dx.doi.org/10.1007/s003000050369")</f>
        <v>http://dx.doi.org/10.1007/s003000050369</v>
      </c>
      <c r="BG633" t="s">
        <v>74</v>
      </c>
      <c r="BH633" t="s">
        <v>74</v>
      </c>
      <c r="BI633">
        <v>9</v>
      </c>
      <c r="BJ633" t="s">
        <v>1383</v>
      </c>
      <c r="BK633" t="s">
        <v>96</v>
      </c>
      <c r="BL633" t="s">
        <v>1384</v>
      </c>
      <c r="BM633" t="s">
        <v>8249</v>
      </c>
      <c r="BN633" t="s">
        <v>74</v>
      </c>
      <c r="BO633" t="s">
        <v>74</v>
      </c>
      <c r="BP633" t="s">
        <v>74</v>
      </c>
      <c r="BQ633" t="s">
        <v>74</v>
      </c>
      <c r="BR633" t="s">
        <v>99</v>
      </c>
      <c r="BS633" t="s">
        <v>8298</v>
      </c>
      <c r="BT633" t="str">
        <f>HYPERLINK("https%3A%2F%2Fwww.webofscience.com%2Fwos%2Fwoscc%2Ffull-record%2FWOS:000080166800008","View Full Record in Web of Science")</f>
        <v>View Full Record in Web of Science</v>
      </c>
    </row>
    <row r="634" spans="1:72" x14ac:dyDescent="0.15">
      <c r="A634" t="s">
        <v>72</v>
      </c>
      <c r="B634" t="s">
        <v>8299</v>
      </c>
      <c r="C634" t="s">
        <v>74</v>
      </c>
      <c r="D634" t="s">
        <v>74</v>
      </c>
      <c r="E634" t="s">
        <v>74</v>
      </c>
      <c r="F634" t="s">
        <v>8299</v>
      </c>
      <c r="G634" t="s">
        <v>74</v>
      </c>
      <c r="H634" t="s">
        <v>74</v>
      </c>
      <c r="I634" t="s">
        <v>8300</v>
      </c>
      <c r="J634" t="s">
        <v>1731</v>
      </c>
      <c r="K634" t="s">
        <v>74</v>
      </c>
      <c r="L634" t="s">
        <v>74</v>
      </c>
      <c r="M634" t="s">
        <v>77</v>
      </c>
      <c r="N634" t="s">
        <v>205</v>
      </c>
      <c r="O634" t="s">
        <v>74</v>
      </c>
      <c r="P634" t="s">
        <v>74</v>
      </c>
      <c r="Q634" t="s">
        <v>74</v>
      </c>
      <c r="R634" t="s">
        <v>74</v>
      </c>
      <c r="S634" t="s">
        <v>74</v>
      </c>
      <c r="T634" t="s">
        <v>74</v>
      </c>
      <c r="U634" t="s">
        <v>8301</v>
      </c>
      <c r="V634" t="s">
        <v>74</v>
      </c>
      <c r="W634" t="s">
        <v>8302</v>
      </c>
      <c r="X634" t="s">
        <v>8303</v>
      </c>
      <c r="Y634" t="s">
        <v>4332</v>
      </c>
      <c r="Z634" t="s">
        <v>74</v>
      </c>
      <c r="AA634" t="s">
        <v>8304</v>
      </c>
      <c r="AB634" t="s">
        <v>74</v>
      </c>
      <c r="AC634" t="s">
        <v>74</v>
      </c>
      <c r="AD634" t="s">
        <v>74</v>
      </c>
      <c r="AE634" t="s">
        <v>74</v>
      </c>
      <c r="AF634" t="s">
        <v>74</v>
      </c>
      <c r="AG634">
        <v>22</v>
      </c>
      <c r="AH634">
        <v>11</v>
      </c>
      <c r="AI634">
        <v>12</v>
      </c>
      <c r="AJ634">
        <v>0</v>
      </c>
      <c r="AK634">
        <v>3</v>
      </c>
      <c r="AL634" t="s">
        <v>210</v>
      </c>
      <c r="AM634" t="s">
        <v>211</v>
      </c>
      <c r="AN634" t="s">
        <v>212</v>
      </c>
      <c r="AO634" t="s">
        <v>1737</v>
      </c>
      <c r="AP634" t="s">
        <v>74</v>
      </c>
      <c r="AQ634" t="s">
        <v>74</v>
      </c>
      <c r="AR634" t="s">
        <v>1738</v>
      </c>
      <c r="AS634" t="s">
        <v>1739</v>
      </c>
      <c r="AT634" t="s">
        <v>7623</v>
      </c>
      <c r="AU634">
        <v>1999</v>
      </c>
      <c r="AV634">
        <v>125</v>
      </c>
      <c r="AW634" t="s">
        <v>141</v>
      </c>
      <c r="AX634" t="s">
        <v>74</v>
      </c>
      <c r="AY634" t="s">
        <v>74</v>
      </c>
      <c r="AZ634" t="s">
        <v>74</v>
      </c>
      <c r="BA634" t="s">
        <v>74</v>
      </c>
      <c r="BB634">
        <v>235</v>
      </c>
      <c r="BC634">
        <v>239</v>
      </c>
      <c r="BD634" t="s">
        <v>74</v>
      </c>
      <c r="BE634" t="s">
        <v>74</v>
      </c>
      <c r="BF634" t="s">
        <v>74</v>
      </c>
      <c r="BG634" t="s">
        <v>74</v>
      </c>
      <c r="BH634" t="s">
        <v>74</v>
      </c>
      <c r="BI634">
        <v>5</v>
      </c>
      <c r="BJ634" t="s">
        <v>388</v>
      </c>
      <c r="BK634" t="s">
        <v>96</v>
      </c>
      <c r="BL634" t="s">
        <v>388</v>
      </c>
      <c r="BM634" t="s">
        <v>8305</v>
      </c>
      <c r="BN634" t="s">
        <v>74</v>
      </c>
      <c r="BO634" t="s">
        <v>74</v>
      </c>
      <c r="BP634" t="s">
        <v>74</v>
      </c>
      <c r="BQ634" t="s">
        <v>74</v>
      </c>
      <c r="BR634" t="s">
        <v>99</v>
      </c>
      <c r="BS634" t="s">
        <v>8306</v>
      </c>
      <c r="BT634" t="str">
        <f>HYPERLINK("https%3A%2F%2Fwww.webofscience.com%2Fwos%2Fwoscc%2Ffull-record%2FWOS:000080417300008","View Full Record in Web of Science")</f>
        <v>View Full Record in Web of Science</v>
      </c>
    </row>
    <row r="635" spans="1:72" x14ac:dyDescent="0.15">
      <c r="A635" t="s">
        <v>72</v>
      </c>
      <c r="B635" t="s">
        <v>8307</v>
      </c>
      <c r="C635" t="s">
        <v>74</v>
      </c>
      <c r="D635" t="s">
        <v>74</v>
      </c>
      <c r="E635" t="s">
        <v>74</v>
      </c>
      <c r="F635" t="s">
        <v>8307</v>
      </c>
      <c r="G635" t="s">
        <v>74</v>
      </c>
      <c r="H635" t="s">
        <v>74</v>
      </c>
      <c r="I635" t="s">
        <v>8308</v>
      </c>
      <c r="J635" t="s">
        <v>8309</v>
      </c>
      <c r="K635" t="s">
        <v>74</v>
      </c>
      <c r="L635" t="s">
        <v>74</v>
      </c>
      <c r="M635" t="s">
        <v>77</v>
      </c>
      <c r="N635" t="s">
        <v>78</v>
      </c>
      <c r="O635" t="s">
        <v>74</v>
      </c>
      <c r="P635" t="s">
        <v>74</v>
      </c>
      <c r="Q635" t="s">
        <v>74</v>
      </c>
      <c r="R635" t="s">
        <v>74</v>
      </c>
      <c r="S635" t="s">
        <v>74</v>
      </c>
      <c r="T635" t="s">
        <v>8310</v>
      </c>
      <c r="U635" t="s">
        <v>8311</v>
      </c>
      <c r="V635" t="s">
        <v>8312</v>
      </c>
      <c r="W635" t="s">
        <v>8313</v>
      </c>
      <c r="X635" t="s">
        <v>8314</v>
      </c>
      <c r="Y635" t="s">
        <v>8315</v>
      </c>
      <c r="Z635" t="s">
        <v>74</v>
      </c>
      <c r="AA635" t="s">
        <v>74</v>
      </c>
      <c r="AB635" t="s">
        <v>74</v>
      </c>
      <c r="AC635" t="s">
        <v>74</v>
      </c>
      <c r="AD635" t="s">
        <v>74</v>
      </c>
      <c r="AE635" t="s">
        <v>74</v>
      </c>
      <c r="AF635" t="s">
        <v>74</v>
      </c>
      <c r="AG635">
        <v>17</v>
      </c>
      <c r="AH635">
        <v>43</v>
      </c>
      <c r="AI635">
        <v>45</v>
      </c>
      <c r="AJ635">
        <v>1</v>
      </c>
      <c r="AK635">
        <v>6</v>
      </c>
      <c r="AL635" t="s">
        <v>1978</v>
      </c>
      <c r="AM635" t="s">
        <v>554</v>
      </c>
      <c r="AN635" t="s">
        <v>8316</v>
      </c>
      <c r="AO635" t="s">
        <v>8317</v>
      </c>
      <c r="AP635" t="s">
        <v>74</v>
      </c>
      <c r="AQ635" t="s">
        <v>74</v>
      </c>
      <c r="AR635" t="s">
        <v>8309</v>
      </c>
      <c r="AS635" t="s">
        <v>8318</v>
      </c>
      <c r="AT635" t="s">
        <v>7623</v>
      </c>
      <c r="AU635">
        <v>1999</v>
      </c>
      <c r="AV635">
        <v>64</v>
      </c>
      <c r="AW635">
        <v>5</v>
      </c>
      <c r="AX635" t="s">
        <v>74</v>
      </c>
      <c r="AY635" t="s">
        <v>74</v>
      </c>
      <c r="AZ635" t="s">
        <v>74</v>
      </c>
      <c r="BA635" t="s">
        <v>74</v>
      </c>
      <c r="BB635">
        <v>335</v>
      </c>
      <c r="BC635">
        <v>340</v>
      </c>
      <c r="BD635" t="s">
        <v>74</v>
      </c>
      <c r="BE635" t="s">
        <v>8319</v>
      </c>
      <c r="BF635" t="str">
        <f>HYPERLINK("http://dx.doi.org/10.1016/S0039-128X(99)00016-1","http://dx.doi.org/10.1016/S0039-128X(99)00016-1")</f>
        <v>http://dx.doi.org/10.1016/S0039-128X(99)00016-1</v>
      </c>
      <c r="BG635" t="s">
        <v>74</v>
      </c>
      <c r="BH635" t="s">
        <v>74</v>
      </c>
      <c r="BI635">
        <v>6</v>
      </c>
      <c r="BJ635" t="s">
        <v>8320</v>
      </c>
      <c r="BK635" t="s">
        <v>284</v>
      </c>
      <c r="BL635" t="s">
        <v>8320</v>
      </c>
      <c r="BM635" t="s">
        <v>8321</v>
      </c>
      <c r="BN635">
        <v>10406483</v>
      </c>
      <c r="BO635" t="s">
        <v>74</v>
      </c>
      <c r="BP635" t="s">
        <v>74</v>
      </c>
      <c r="BQ635" t="s">
        <v>74</v>
      </c>
      <c r="BR635" t="s">
        <v>99</v>
      </c>
      <c r="BS635" t="s">
        <v>8322</v>
      </c>
      <c r="BT635" t="str">
        <f>HYPERLINK("https%3A%2F%2Fwww.webofscience.com%2Fwos%2Fwoscc%2Ffull-record%2FWOS:000080982200004","View Full Record in Web of Science")</f>
        <v>View Full Record in Web of Science</v>
      </c>
    </row>
    <row r="636" spans="1:72" x14ac:dyDescent="0.15">
      <c r="A636" t="s">
        <v>72</v>
      </c>
      <c r="B636" t="s">
        <v>8323</v>
      </c>
      <c r="C636" t="s">
        <v>74</v>
      </c>
      <c r="D636" t="s">
        <v>74</v>
      </c>
      <c r="E636" t="s">
        <v>74</v>
      </c>
      <c r="F636" t="s">
        <v>8323</v>
      </c>
      <c r="G636" t="s">
        <v>74</v>
      </c>
      <c r="H636" t="s">
        <v>74</v>
      </c>
      <c r="I636" t="s">
        <v>8324</v>
      </c>
      <c r="J636" t="s">
        <v>8325</v>
      </c>
      <c r="K636" t="s">
        <v>74</v>
      </c>
      <c r="L636" t="s">
        <v>74</v>
      </c>
      <c r="M636" t="s">
        <v>77</v>
      </c>
      <c r="N636" t="s">
        <v>78</v>
      </c>
      <c r="O636" t="s">
        <v>74</v>
      </c>
      <c r="P636" t="s">
        <v>74</v>
      </c>
      <c r="Q636" t="s">
        <v>74</v>
      </c>
      <c r="R636" t="s">
        <v>74</v>
      </c>
      <c r="S636" t="s">
        <v>74</v>
      </c>
      <c r="T636" t="s">
        <v>74</v>
      </c>
      <c r="U636" t="s">
        <v>74</v>
      </c>
      <c r="V636" t="s">
        <v>8326</v>
      </c>
      <c r="W636" t="s">
        <v>8327</v>
      </c>
      <c r="X636" t="s">
        <v>8328</v>
      </c>
      <c r="Y636" t="s">
        <v>8329</v>
      </c>
      <c r="Z636" t="s">
        <v>74</v>
      </c>
      <c r="AA636" t="s">
        <v>74</v>
      </c>
      <c r="AB636" t="s">
        <v>74</v>
      </c>
      <c r="AC636" t="s">
        <v>74</v>
      </c>
      <c r="AD636" t="s">
        <v>74</v>
      </c>
      <c r="AE636" t="s">
        <v>74</v>
      </c>
      <c r="AF636" t="s">
        <v>74</v>
      </c>
      <c r="AG636">
        <v>20</v>
      </c>
      <c r="AH636">
        <v>8</v>
      </c>
      <c r="AI636">
        <v>9</v>
      </c>
      <c r="AJ636">
        <v>0</v>
      </c>
      <c r="AK636">
        <v>3</v>
      </c>
      <c r="AL636" t="s">
        <v>5555</v>
      </c>
      <c r="AM636" t="s">
        <v>5269</v>
      </c>
      <c r="AN636" t="s">
        <v>5556</v>
      </c>
      <c r="AO636" t="s">
        <v>8330</v>
      </c>
      <c r="AP636" t="s">
        <v>74</v>
      </c>
      <c r="AQ636" t="s">
        <v>74</v>
      </c>
      <c r="AR636" t="s">
        <v>8331</v>
      </c>
      <c r="AS636" t="s">
        <v>8332</v>
      </c>
      <c r="AT636" t="s">
        <v>7623</v>
      </c>
      <c r="AU636">
        <v>1999</v>
      </c>
      <c r="AV636">
        <v>43</v>
      </c>
      <c r="AW636">
        <v>1</v>
      </c>
      <c r="AX636" t="s">
        <v>74</v>
      </c>
      <c r="AY636" t="s">
        <v>74</v>
      </c>
      <c r="AZ636" t="s">
        <v>74</v>
      </c>
      <c r="BA636" t="s">
        <v>74</v>
      </c>
      <c r="BB636">
        <v>17</v>
      </c>
      <c r="BC636">
        <v>27</v>
      </c>
      <c r="BD636" t="s">
        <v>74</v>
      </c>
      <c r="BE636" t="s">
        <v>8333</v>
      </c>
      <c r="BF636" t="str">
        <f>HYPERLINK("http://dx.doi.org/10.1023/A:1006119714038","http://dx.doi.org/10.1023/A:1006119714038")</f>
        <v>http://dx.doi.org/10.1023/A:1006119714038</v>
      </c>
      <c r="BG636" t="s">
        <v>74</v>
      </c>
      <c r="BH636" t="s">
        <v>74</v>
      </c>
      <c r="BI636">
        <v>11</v>
      </c>
      <c r="BJ636" t="s">
        <v>4795</v>
      </c>
      <c r="BK636" t="s">
        <v>96</v>
      </c>
      <c r="BL636" t="s">
        <v>4795</v>
      </c>
      <c r="BM636" t="s">
        <v>8334</v>
      </c>
      <c r="BN636">
        <v>10613527</v>
      </c>
      <c r="BO636" t="s">
        <v>74</v>
      </c>
      <c r="BP636" t="s">
        <v>74</v>
      </c>
      <c r="BQ636" t="s">
        <v>74</v>
      </c>
      <c r="BR636" t="s">
        <v>99</v>
      </c>
      <c r="BS636" t="s">
        <v>8335</v>
      </c>
      <c r="BT636" t="str">
        <f>HYPERLINK("https%3A%2F%2Fwww.webofscience.com%2Fwos%2Fwoscc%2Ffull-record%2FWOS:000079990700004","View Full Record in Web of Science")</f>
        <v>View Full Record in Web of Science</v>
      </c>
    </row>
    <row r="637" spans="1:72" x14ac:dyDescent="0.15">
      <c r="A637" t="s">
        <v>72</v>
      </c>
      <c r="B637" t="s">
        <v>8336</v>
      </c>
      <c r="C637" t="s">
        <v>74</v>
      </c>
      <c r="D637" t="s">
        <v>74</v>
      </c>
      <c r="E637" t="s">
        <v>74</v>
      </c>
      <c r="F637" t="s">
        <v>8336</v>
      </c>
      <c r="G637" t="s">
        <v>74</v>
      </c>
      <c r="H637" t="s">
        <v>74</v>
      </c>
      <c r="I637" t="s">
        <v>8337</v>
      </c>
      <c r="J637" t="s">
        <v>4913</v>
      </c>
      <c r="K637" t="s">
        <v>74</v>
      </c>
      <c r="L637" t="s">
        <v>74</v>
      </c>
      <c r="M637" t="s">
        <v>77</v>
      </c>
      <c r="N637" t="s">
        <v>78</v>
      </c>
      <c r="O637" t="s">
        <v>74</v>
      </c>
      <c r="P637" t="s">
        <v>74</v>
      </c>
      <c r="Q637" t="s">
        <v>74</v>
      </c>
      <c r="R637" t="s">
        <v>74</v>
      </c>
      <c r="S637" t="s">
        <v>74</v>
      </c>
      <c r="T637" t="s">
        <v>74</v>
      </c>
      <c r="U637" t="s">
        <v>8338</v>
      </c>
      <c r="V637" t="s">
        <v>8339</v>
      </c>
      <c r="W637" t="s">
        <v>1711</v>
      </c>
      <c r="X637" t="s">
        <v>1712</v>
      </c>
      <c r="Y637" t="s">
        <v>8340</v>
      </c>
      <c r="Z637" t="s">
        <v>74</v>
      </c>
      <c r="AA637" t="s">
        <v>74</v>
      </c>
      <c r="AB637" t="s">
        <v>74</v>
      </c>
      <c r="AC637" t="s">
        <v>74</v>
      </c>
      <c r="AD637" t="s">
        <v>74</v>
      </c>
      <c r="AE637" t="s">
        <v>74</v>
      </c>
      <c r="AF637" t="s">
        <v>74</v>
      </c>
      <c r="AG637">
        <v>59</v>
      </c>
      <c r="AH637">
        <v>117</v>
      </c>
      <c r="AI637">
        <v>121</v>
      </c>
      <c r="AJ637">
        <v>0</v>
      </c>
      <c r="AK637">
        <v>8</v>
      </c>
      <c r="AL637" t="s">
        <v>3878</v>
      </c>
      <c r="AM637" t="s">
        <v>3879</v>
      </c>
      <c r="AN637" t="s">
        <v>3880</v>
      </c>
      <c r="AO637" t="s">
        <v>4923</v>
      </c>
      <c r="AP637" t="s">
        <v>74</v>
      </c>
      <c r="AQ637" t="s">
        <v>74</v>
      </c>
      <c r="AR637" t="s">
        <v>4924</v>
      </c>
      <c r="AS637" t="s">
        <v>4925</v>
      </c>
      <c r="AT637" t="s">
        <v>7623</v>
      </c>
      <c r="AU637">
        <v>1999</v>
      </c>
      <c r="AV637">
        <v>51</v>
      </c>
      <c r="AW637">
        <v>3</v>
      </c>
      <c r="AX637" t="s">
        <v>74</v>
      </c>
      <c r="AY637" t="s">
        <v>74</v>
      </c>
      <c r="AZ637" t="s">
        <v>74</v>
      </c>
      <c r="BA637" t="s">
        <v>74</v>
      </c>
      <c r="BB637">
        <v>412</v>
      </c>
      <c r="BC637">
        <v>430</v>
      </c>
      <c r="BD637" t="s">
        <v>74</v>
      </c>
      <c r="BE637" t="s">
        <v>8341</v>
      </c>
      <c r="BF637" t="str">
        <f>HYPERLINK("http://dx.doi.org/10.1034/j.1600-0870.1999.t01-3-00006.x","http://dx.doi.org/10.1034/j.1600-0870.1999.t01-3-00006.x")</f>
        <v>http://dx.doi.org/10.1034/j.1600-0870.1999.t01-3-00006.x</v>
      </c>
      <c r="BG637" t="s">
        <v>74</v>
      </c>
      <c r="BH637" t="s">
        <v>74</v>
      </c>
      <c r="BI637">
        <v>19</v>
      </c>
      <c r="BJ637" t="s">
        <v>1022</v>
      </c>
      <c r="BK637" t="s">
        <v>96</v>
      </c>
      <c r="BL637" t="s">
        <v>1022</v>
      </c>
      <c r="BM637" t="s">
        <v>8342</v>
      </c>
      <c r="BN637" t="s">
        <v>74</v>
      </c>
      <c r="BO637" t="s">
        <v>74</v>
      </c>
      <c r="BP637" t="s">
        <v>74</v>
      </c>
      <c r="BQ637" t="s">
        <v>74</v>
      </c>
      <c r="BR637" t="s">
        <v>99</v>
      </c>
      <c r="BS637" t="s">
        <v>8343</v>
      </c>
      <c r="BT637" t="str">
        <f>HYPERLINK("https%3A%2F%2Fwww.webofscience.com%2Fwos%2Fwoscc%2Ffull-record%2FWOS:000081021900006","View Full Record in Web of Science")</f>
        <v>View Full Record in Web of Science</v>
      </c>
    </row>
    <row r="638" spans="1:72" x14ac:dyDescent="0.15">
      <c r="A638" t="s">
        <v>72</v>
      </c>
      <c r="B638" t="s">
        <v>8344</v>
      </c>
      <c r="C638" t="s">
        <v>74</v>
      </c>
      <c r="D638" t="s">
        <v>74</v>
      </c>
      <c r="E638" t="s">
        <v>74</v>
      </c>
      <c r="F638" t="s">
        <v>8344</v>
      </c>
      <c r="G638" t="s">
        <v>74</v>
      </c>
      <c r="H638" t="s">
        <v>74</v>
      </c>
      <c r="I638" t="s">
        <v>8345</v>
      </c>
      <c r="J638" t="s">
        <v>8346</v>
      </c>
      <c r="K638" t="s">
        <v>74</v>
      </c>
      <c r="L638" t="s">
        <v>74</v>
      </c>
      <c r="M638" t="s">
        <v>77</v>
      </c>
      <c r="N638" t="s">
        <v>123</v>
      </c>
      <c r="O638" t="s">
        <v>8347</v>
      </c>
      <c r="P638" t="s">
        <v>8348</v>
      </c>
      <c r="Q638" t="s">
        <v>8349</v>
      </c>
      <c r="R638" t="s">
        <v>74</v>
      </c>
      <c r="S638" t="s">
        <v>74</v>
      </c>
      <c r="T638" t="s">
        <v>8350</v>
      </c>
      <c r="U638" t="s">
        <v>8351</v>
      </c>
      <c r="V638" t="s">
        <v>8352</v>
      </c>
      <c r="W638" t="s">
        <v>8353</v>
      </c>
      <c r="X638" t="s">
        <v>8354</v>
      </c>
      <c r="Y638" t="s">
        <v>8355</v>
      </c>
      <c r="Z638" t="s">
        <v>8356</v>
      </c>
      <c r="AA638" t="s">
        <v>74</v>
      </c>
      <c r="AB638" t="s">
        <v>8357</v>
      </c>
      <c r="AC638" t="s">
        <v>74</v>
      </c>
      <c r="AD638" t="s">
        <v>74</v>
      </c>
      <c r="AE638" t="s">
        <v>74</v>
      </c>
      <c r="AF638" t="s">
        <v>74</v>
      </c>
      <c r="AG638">
        <v>18</v>
      </c>
      <c r="AH638">
        <v>21</v>
      </c>
      <c r="AI638">
        <v>29</v>
      </c>
      <c r="AJ638">
        <v>0</v>
      </c>
      <c r="AK638">
        <v>17</v>
      </c>
      <c r="AL638" t="s">
        <v>210</v>
      </c>
      <c r="AM638" t="s">
        <v>211</v>
      </c>
      <c r="AN638" t="s">
        <v>212</v>
      </c>
      <c r="AO638" t="s">
        <v>8358</v>
      </c>
      <c r="AP638" t="s">
        <v>8359</v>
      </c>
      <c r="AQ638" t="s">
        <v>74</v>
      </c>
      <c r="AR638" t="s">
        <v>8360</v>
      </c>
      <c r="AS638" t="s">
        <v>8361</v>
      </c>
      <c r="AT638" t="s">
        <v>8362</v>
      </c>
      <c r="AU638">
        <v>1999</v>
      </c>
      <c r="AV638">
        <v>70</v>
      </c>
      <c r="AW638" t="s">
        <v>2622</v>
      </c>
      <c r="AX638" t="s">
        <v>74</v>
      </c>
      <c r="AY638" t="s">
        <v>74</v>
      </c>
      <c r="AZ638" t="s">
        <v>74</v>
      </c>
      <c r="BA638" t="s">
        <v>74</v>
      </c>
      <c r="BB638">
        <v>53</v>
      </c>
      <c r="BC638">
        <v>60</v>
      </c>
      <c r="BD638" t="s">
        <v>74</v>
      </c>
      <c r="BE638" t="s">
        <v>8363</v>
      </c>
      <c r="BF638" t="str">
        <f>HYPERLINK("http://dx.doi.org/10.1016/S0168-1656(99)00057-7","http://dx.doi.org/10.1016/S0168-1656(99)00057-7")</f>
        <v>http://dx.doi.org/10.1016/S0168-1656(99)00057-7</v>
      </c>
      <c r="BG638" t="s">
        <v>74</v>
      </c>
      <c r="BH638" t="s">
        <v>74</v>
      </c>
      <c r="BI638">
        <v>8</v>
      </c>
      <c r="BJ638" t="s">
        <v>8364</v>
      </c>
      <c r="BK638" t="s">
        <v>156</v>
      </c>
      <c r="BL638" t="s">
        <v>8364</v>
      </c>
      <c r="BM638" t="s">
        <v>8365</v>
      </c>
      <c r="BN638" t="s">
        <v>74</v>
      </c>
      <c r="BO638" t="s">
        <v>74</v>
      </c>
      <c r="BP638" t="s">
        <v>74</v>
      </c>
      <c r="BQ638" t="s">
        <v>74</v>
      </c>
      <c r="BR638" t="s">
        <v>99</v>
      </c>
      <c r="BS638" t="s">
        <v>8366</v>
      </c>
      <c r="BT638" t="str">
        <f>HYPERLINK("https%3A%2F%2Fwww.webofscience.com%2Fwos%2Fwoscc%2Ffull-record%2FWOS:000081185800007","View Full Record in Web of Science")</f>
        <v>View Full Record in Web of Science</v>
      </c>
    </row>
    <row r="639" spans="1:72" x14ac:dyDescent="0.15">
      <c r="A639" t="s">
        <v>72</v>
      </c>
      <c r="B639" t="s">
        <v>8367</v>
      </c>
      <c r="C639" t="s">
        <v>74</v>
      </c>
      <c r="D639" t="s">
        <v>74</v>
      </c>
      <c r="E639" t="s">
        <v>74</v>
      </c>
      <c r="F639" t="s">
        <v>8367</v>
      </c>
      <c r="G639" t="s">
        <v>74</v>
      </c>
      <c r="H639" t="s">
        <v>74</v>
      </c>
      <c r="I639" t="s">
        <v>8368</v>
      </c>
      <c r="J639" t="s">
        <v>204</v>
      </c>
      <c r="K639" t="s">
        <v>74</v>
      </c>
      <c r="L639" t="s">
        <v>74</v>
      </c>
      <c r="M639" t="s">
        <v>77</v>
      </c>
      <c r="N639" t="s">
        <v>254</v>
      </c>
      <c r="O639" t="s">
        <v>74</v>
      </c>
      <c r="P639" t="s">
        <v>74</v>
      </c>
      <c r="Q639" t="s">
        <v>74</v>
      </c>
      <c r="R639" t="s">
        <v>74</v>
      </c>
      <c r="S639" t="s">
        <v>74</v>
      </c>
      <c r="T639" t="s">
        <v>8369</v>
      </c>
      <c r="U639" t="s">
        <v>8370</v>
      </c>
      <c r="V639" t="s">
        <v>8371</v>
      </c>
      <c r="W639" t="s">
        <v>8372</v>
      </c>
      <c r="X639" t="s">
        <v>8373</v>
      </c>
      <c r="Y639" t="s">
        <v>8374</v>
      </c>
      <c r="Z639" t="s">
        <v>8375</v>
      </c>
      <c r="AA639" t="s">
        <v>8376</v>
      </c>
      <c r="AB639" t="s">
        <v>2443</v>
      </c>
      <c r="AC639" t="s">
        <v>74</v>
      </c>
      <c r="AD639" t="s">
        <v>74</v>
      </c>
      <c r="AE639" t="s">
        <v>74</v>
      </c>
      <c r="AF639" t="s">
        <v>74</v>
      </c>
      <c r="AG639">
        <v>106</v>
      </c>
      <c r="AH639">
        <v>37</v>
      </c>
      <c r="AI639">
        <v>41</v>
      </c>
      <c r="AJ639">
        <v>0</v>
      </c>
      <c r="AK639">
        <v>7</v>
      </c>
      <c r="AL639" t="s">
        <v>1263</v>
      </c>
      <c r="AM639" t="s">
        <v>211</v>
      </c>
      <c r="AN639" t="s">
        <v>1264</v>
      </c>
      <c r="AO639" t="s">
        <v>213</v>
      </c>
      <c r="AP639" t="s">
        <v>8377</v>
      </c>
      <c r="AQ639" t="s">
        <v>74</v>
      </c>
      <c r="AR639" t="s">
        <v>204</v>
      </c>
      <c r="AS639" t="s">
        <v>214</v>
      </c>
      <c r="AT639" t="s">
        <v>8362</v>
      </c>
      <c r="AU639">
        <v>1999</v>
      </c>
      <c r="AV639">
        <v>304</v>
      </c>
      <c r="AW639">
        <v>4</v>
      </c>
      <c r="AX639" t="s">
        <v>74</v>
      </c>
      <c r="AY639" t="s">
        <v>74</v>
      </c>
      <c r="AZ639" t="s">
        <v>74</v>
      </c>
      <c r="BA639" t="s">
        <v>74</v>
      </c>
      <c r="BB639">
        <v>275</v>
      </c>
      <c r="BC639">
        <v>299</v>
      </c>
      <c r="BD639" t="s">
        <v>74</v>
      </c>
      <c r="BE639" t="s">
        <v>8378</v>
      </c>
      <c r="BF639" t="str">
        <f>HYPERLINK("http://dx.doi.org/10.1016/S0040-1951(99)00033-5","http://dx.doi.org/10.1016/S0040-1951(99)00033-5")</f>
        <v>http://dx.doi.org/10.1016/S0040-1951(99)00033-5</v>
      </c>
      <c r="BG639" t="s">
        <v>74</v>
      </c>
      <c r="BH639" t="s">
        <v>74</v>
      </c>
      <c r="BI639">
        <v>25</v>
      </c>
      <c r="BJ639" t="s">
        <v>216</v>
      </c>
      <c r="BK639" t="s">
        <v>96</v>
      </c>
      <c r="BL639" t="s">
        <v>216</v>
      </c>
      <c r="BM639" t="s">
        <v>8379</v>
      </c>
      <c r="BN639" t="s">
        <v>74</v>
      </c>
      <c r="BO639" t="s">
        <v>74</v>
      </c>
      <c r="BP639" t="s">
        <v>74</v>
      </c>
      <c r="BQ639" t="s">
        <v>74</v>
      </c>
      <c r="BR639" t="s">
        <v>99</v>
      </c>
      <c r="BS639" t="s">
        <v>8380</v>
      </c>
      <c r="BT639" t="str">
        <f>HYPERLINK("https%3A%2F%2Fwww.webofscience.com%2Fwos%2Fwoscc%2Ffull-record%2FWOS:000080145100001","View Full Record in Web of Science")</f>
        <v>View Full Record in Web of Science</v>
      </c>
    </row>
    <row r="640" spans="1:72" x14ac:dyDescent="0.15">
      <c r="A640" t="s">
        <v>72</v>
      </c>
      <c r="B640" t="s">
        <v>8381</v>
      </c>
      <c r="C640" t="s">
        <v>74</v>
      </c>
      <c r="D640" t="s">
        <v>74</v>
      </c>
      <c r="E640" t="s">
        <v>74</v>
      </c>
      <c r="F640" t="s">
        <v>8381</v>
      </c>
      <c r="G640" t="s">
        <v>74</v>
      </c>
      <c r="H640" t="s">
        <v>74</v>
      </c>
      <c r="I640" t="s">
        <v>8382</v>
      </c>
      <c r="J640" t="s">
        <v>8383</v>
      </c>
      <c r="K640" t="s">
        <v>74</v>
      </c>
      <c r="L640" t="s">
        <v>74</v>
      </c>
      <c r="M640" t="s">
        <v>77</v>
      </c>
      <c r="N640" t="s">
        <v>78</v>
      </c>
      <c r="O640" t="s">
        <v>74</v>
      </c>
      <c r="P640" t="s">
        <v>74</v>
      </c>
      <c r="Q640" t="s">
        <v>74</v>
      </c>
      <c r="R640" t="s">
        <v>74</v>
      </c>
      <c r="S640" t="s">
        <v>74</v>
      </c>
      <c r="T640" t="s">
        <v>8384</v>
      </c>
      <c r="U640" t="s">
        <v>8385</v>
      </c>
      <c r="V640" t="s">
        <v>8386</v>
      </c>
      <c r="W640" t="s">
        <v>8387</v>
      </c>
      <c r="X640" t="s">
        <v>8388</v>
      </c>
      <c r="Y640" t="s">
        <v>8389</v>
      </c>
      <c r="Z640" t="s">
        <v>74</v>
      </c>
      <c r="AA640" t="s">
        <v>74</v>
      </c>
      <c r="AB640" t="s">
        <v>74</v>
      </c>
      <c r="AC640" t="s">
        <v>74</v>
      </c>
      <c r="AD640" t="s">
        <v>74</v>
      </c>
      <c r="AE640" t="s">
        <v>74</v>
      </c>
      <c r="AF640" t="s">
        <v>74</v>
      </c>
      <c r="AG640">
        <v>51</v>
      </c>
      <c r="AH640">
        <v>23</v>
      </c>
      <c r="AI640">
        <v>23</v>
      </c>
      <c r="AJ640">
        <v>0</v>
      </c>
      <c r="AK640">
        <v>7</v>
      </c>
      <c r="AL640" t="s">
        <v>210</v>
      </c>
      <c r="AM640" t="s">
        <v>211</v>
      </c>
      <c r="AN640" t="s">
        <v>212</v>
      </c>
      <c r="AO640" t="s">
        <v>8390</v>
      </c>
      <c r="AP640" t="s">
        <v>74</v>
      </c>
      <c r="AQ640" t="s">
        <v>74</v>
      </c>
      <c r="AR640" t="s">
        <v>8391</v>
      </c>
      <c r="AS640" t="s">
        <v>8392</v>
      </c>
      <c r="AT640" t="s">
        <v>8393</v>
      </c>
      <c r="AU640">
        <v>1999</v>
      </c>
      <c r="AV640">
        <v>185</v>
      </c>
      <c r="AW640" t="s">
        <v>74</v>
      </c>
      <c r="AX640" t="s">
        <v>74</v>
      </c>
      <c r="AY640" t="s">
        <v>74</v>
      </c>
      <c r="AZ640" t="s">
        <v>4033</v>
      </c>
      <c r="BA640" t="s">
        <v>74</v>
      </c>
      <c r="BB640">
        <v>545</v>
      </c>
      <c r="BC640">
        <v>558</v>
      </c>
      <c r="BD640" t="s">
        <v>74</v>
      </c>
      <c r="BE640" t="s">
        <v>8394</v>
      </c>
      <c r="BF640" t="str">
        <f>HYPERLINK("http://dx.doi.org/10.1016/S1387-3806(98)14137-4","http://dx.doi.org/10.1016/S1387-3806(98)14137-4")</f>
        <v>http://dx.doi.org/10.1016/S1387-3806(98)14137-4</v>
      </c>
      <c r="BG640" t="s">
        <v>74</v>
      </c>
      <c r="BH640" t="s">
        <v>74</v>
      </c>
      <c r="BI640">
        <v>14</v>
      </c>
      <c r="BJ640" t="s">
        <v>8395</v>
      </c>
      <c r="BK640" t="s">
        <v>96</v>
      </c>
      <c r="BL640" t="s">
        <v>8396</v>
      </c>
      <c r="BM640" t="s">
        <v>8397</v>
      </c>
      <c r="BN640" t="s">
        <v>74</v>
      </c>
      <c r="BO640" t="s">
        <v>74</v>
      </c>
      <c r="BP640" t="s">
        <v>74</v>
      </c>
      <c r="BQ640" t="s">
        <v>74</v>
      </c>
      <c r="BR640" t="s">
        <v>99</v>
      </c>
      <c r="BS640" t="s">
        <v>8398</v>
      </c>
      <c r="BT640" t="str">
        <f>HYPERLINK("https%3A%2F%2Fwww.webofscience.com%2Fwos%2Fwoscc%2Ffull-record%2FWOS:000079857900051","View Full Record in Web of Science")</f>
        <v>View Full Record in Web of Science</v>
      </c>
    </row>
    <row r="641" spans="1:72" x14ac:dyDescent="0.15">
      <c r="A641" t="s">
        <v>72</v>
      </c>
      <c r="B641" t="s">
        <v>8399</v>
      </c>
      <c r="C641" t="s">
        <v>74</v>
      </c>
      <c r="D641" t="s">
        <v>74</v>
      </c>
      <c r="E641" t="s">
        <v>74</v>
      </c>
      <c r="F641" t="s">
        <v>8399</v>
      </c>
      <c r="G641" t="s">
        <v>74</v>
      </c>
      <c r="H641" t="s">
        <v>74</v>
      </c>
      <c r="I641" t="s">
        <v>8400</v>
      </c>
      <c r="J641" t="s">
        <v>221</v>
      </c>
      <c r="K641" t="s">
        <v>74</v>
      </c>
      <c r="L641" t="s">
        <v>74</v>
      </c>
      <c r="M641" t="s">
        <v>77</v>
      </c>
      <c r="N641" t="s">
        <v>78</v>
      </c>
      <c r="O641" t="s">
        <v>74</v>
      </c>
      <c r="P641" t="s">
        <v>74</v>
      </c>
      <c r="Q641" t="s">
        <v>74</v>
      </c>
      <c r="R641" t="s">
        <v>74</v>
      </c>
      <c r="S641" t="s">
        <v>74</v>
      </c>
      <c r="T641" t="s">
        <v>74</v>
      </c>
      <c r="U641" t="s">
        <v>8401</v>
      </c>
      <c r="V641" t="s">
        <v>8402</v>
      </c>
      <c r="W641" t="s">
        <v>8403</v>
      </c>
      <c r="X641" t="s">
        <v>3626</v>
      </c>
      <c r="Y641" t="s">
        <v>8404</v>
      </c>
      <c r="Z641" t="s">
        <v>8405</v>
      </c>
      <c r="AA641" t="s">
        <v>74</v>
      </c>
      <c r="AB641" t="s">
        <v>74</v>
      </c>
      <c r="AC641" t="s">
        <v>74</v>
      </c>
      <c r="AD641" t="s">
        <v>74</v>
      </c>
      <c r="AE641" t="s">
        <v>74</v>
      </c>
      <c r="AF641" t="s">
        <v>74</v>
      </c>
      <c r="AG641">
        <v>44</v>
      </c>
      <c r="AH641">
        <v>21</v>
      </c>
      <c r="AI641">
        <v>32</v>
      </c>
      <c r="AJ641">
        <v>0</v>
      </c>
      <c r="AK641">
        <v>2</v>
      </c>
      <c r="AL641" t="s">
        <v>230</v>
      </c>
      <c r="AM641" t="s">
        <v>231</v>
      </c>
      <c r="AN641" t="s">
        <v>232</v>
      </c>
      <c r="AO641" t="s">
        <v>233</v>
      </c>
      <c r="AP641" t="s">
        <v>317</v>
      </c>
      <c r="AQ641" t="s">
        <v>74</v>
      </c>
      <c r="AR641" t="s">
        <v>234</v>
      </c>
      <c r="AS641" t="s">
        <v>235</v>
      </c>
      <c r="AT641" t="s">
        <v>8406</v>
      </c>
      <c r="AU641">
        <v>1999</v>
      </c>
      <c r="AV641">
        <v>104</v>
      </c>
      <c r="AW641" t="s">
        <v>8407</v>
      </c>
      <c r="AX641" t="s">
        <v>74</v>
      </c>
      <c r="AY641" t="s">
        <v>74</v>
      </c>
      <c r="AZ641" t="s">
        <v>74</v>
      </c>
      <c r="BA641" t="s">
        <v>74</v>
      </c>
      <c r="BB641">
        <v>9229</v>
      </c>
      <c r="BC641">
        <v>9249</v>
      </c>
      <c r="BD641" t="s">
        <v>74</v>
      </c>
      <c r="BE641" t="s">
        <v>8408</v>
      </c>
      <c r="BF641" t="str">
        <f>HYPERLINK("http://dx.doi.org/10.1029/1999JD900045","http://dx.doi.org/10.1029/1999JD900045")</f>
        <v>http://dx.doi.org/10.1029/1999JD900045</v>
      </c>
      <c r="BG641" t="s">
        <v>74</v>
      </c>
      <c r="BH641" t="s">
        <v>74</v>
      </c>
      <c r="BI641">
        <v>21</v>
      </c>
      <c r="BJ641" t="s">
        <v>95</v>
      </c>
      <c r="BK641" t="s">
        <v>96</v>
      </c>
      <c r="BL641" t="s">
        <v>95</v>
      </c>
      <c r="BM641" t="s">
        <v>8409</v>
      </c>
      <c r="BN641" t="s">
        <v>74</v>
      </c>
      <c r="BO641" t="s">
        <v>250</v>
      </c>
      <c r="BP641" t="s">
        <v>74</v>
      </c>
      <c r="BQ641" t="s">
        <v>74</v>
      </c>
      <c r="BR641" t="s">
        <v>99</v>
      </c>
      <c r="BS641" t="s">
        <v>8410</v>
      </c>
      <c r="BT641" t="str">
        <f>HYPERLINK("https%3A%2F%2Fwww.webofscience.com%2Fwos%2Fwoscc%2Ffull-record%2FWOS:000079925600009","View Full Record in Web of Science")</f>
        <v>View Full Record in Web of Science</v>
      </c>
    </row>
    <row r="642" spans="1:72" x14ac:dyDescent="0.15">
      <c r="A642" t="s">
        <v>72</v>
      </c>
      <c r="B642" t="s">
        <v>8411</v>
      </c>
      <c r="C642" t="s">
        <v>74</v>
      </c>
      <c r="D642" t="s">
        <v>74</v>
      </c>
      <c r="E642" t="s">
        <v>74</v>
      </c>
      <c r="F642" t="s">
        <v>8411</v>
      </c>
      <c r="G642" t="s">
        <v>74</v>
      </c>
      <c r="H642" t="s">
        <v>74</v>
      </c>
      <c r="I642" t="s">
        <v>8412</v>
      </c>
      <c r="J642" t="s">
        <v>221</v>
      </c>
      <c r="K642" t="s">
        <v>74</v>
      </c>
      <c r="L642" t="s">
        <v>74</v>
      </c>
      <c r="M642" t="s">
        <v>77</v>
      </c>
      <c r="N642" t="s">
        <v>78</v>
      </c>
      <c r="O642" t="s">
        <v>74</v>
      </c>
      <c r="P642" t="s">
        <v>74</v>
      </c>
      <c r="Q642" t="s">
        <v>74</v>
      </c>
      <c r="R642" t="s">
        <v>74</v>
      </c>
      <c r="S642" t="s">
        <v>74</v>
      </c>
      <c r="T642" t="s">
        <v>74</v>
      </c>
      <c r="U642" t="s">
        <v>8413</v>
      </c>
      <c r="V642" t="s">
        <v>8414</v>
      </c>
      <c r="W642" t="s">
        <v>8415</v>
      </c>
      <c r="X642" t="s">
        <v>8416</v>
      </c>
      <c r="Y642" t="s">
        <v>8417</v>
      </c>
      <c r="Z642" t="s">
        <v>8418</v>
      </c>
      <c r="AA642" t="s">
        <v>8419</v>
      </c>
      <c r="AB642" t="s">
        <v>8420</v>
      </c>
      <c r="AC642" t="s">
        <v>74</v>
      </c>
      <c r="AD642" t="s">
        <v>74</v>
      </c>
      <c r="AE642" t="s">
        <v>74</v>
      </c>
      <c r="AF642" t="s">
        <v>74</v>
      </c>
      <c r="AG642">
        <v>35</v>
      </c>
      <c r="AH642">
        <v>8</v>
      </c>
      <c r="AI642">
        <v>10</v>
      </c>
      <c r="AJ642">
        <v>0</v>
      </c>
      <c r="AK642">
        <v>3</v>
      </c>
      <c r="AL642" t="s">
        <v>230</v>
      </c>
      <c r="AM642" t="s">
        <v>231</v>
      </c>
      <c r="AN642" t="s">
        <v>232</v>
      </c>
      <c r="AO642" t="s">
        <v>233</v>
      </c>
      <c r="AP642" t="s">
        <v>317</v>
      </c>
      <c r="AQ642" t="s">
        <v>74</v>
      </c>
      <c r="AR642" t="s">
        <v>234</v>
      </c>
      <c r="AS642" t="s">
        <v>235</v>
      </c>
      <c r="AT642" t="s">
        <v>8406</v>
      </c>
      <c r="AU642">
        <v>1999</v>
      </c>
      <c r="AV642">
        <v>104</v>
      </c>
      <c r="AW642" t="s">
        <v>8407</v>
      </c>
      <c r="AX642" t="s">
        <v>74</v>
      </c>
      <c r="AY642" t="s">
        <v>74</v>
      </c>
      <c r="AZ642" t="s">
        <v>74</v>
      </c>
      <c r="BA642" t="s">
        <v>74</v>
      </c>
      <c r="BB642">
        <v>9293</v>
      </c>
      <c r="BC642">
        <v>9308</v>
      </c>
      <c r="BD642" t="s">
        <v>74</v>
      </c>
      <c r="BE642" t="s">
        <v>8421</v>
      </c>
      <c r="BF642" t="str">
        <f>HYPERLINK("http://dx.doi.org/10.1029/1999JD900042","http://dx.doi.org/10.1029/1999JD900042")</f>
        <v>http://dx.doi.org/10.1029/1999JD900042</v>
      </c>
      <c r="BG642" t="s">
        <v>74</v>
      </c>
      <c r="BH642" t="s">
        <v>74</v>
      </c>
      <c r="BI642">
        <v>16</v>
      </c>
      <c r="BJ642" t="s">
        <v>95</v>
      </c>
      <c r="BK642" t="s">
        <v>96</v>
      </c>
      <c r="BL642" t="s">
        <v>95</v>
      </c>
      <c r="BM642" t="s">
        <v>8409</v>
      </c>
      <c r="BN642" t="s">
        <v>74</v>
      </c>
      <c r="BO642" t="s">
        <v>250</v>
      </c>
      <c r="BP642" t="s">
        <v>74</v>
      </c>
      <c r="BQ642" t="s">
        <v>74</v>
      </c>
      <c r="BR642" t="s">
        <v>99</v>
      </c>
      <c r="BS642" t="s">
        <v>8422</v>
      </c>
      <c r="BT642" t="str">
        <f>HYPERLINK("https%3A%2F%2Fwww.webofscience.com%2Fwos%2Fwoscc%2Ffull-record%2FWOS:000079925600013","View Full Record in Web of Science")</f>
        <v>View Full Record in Web of Science</v>
      </c>
    </row>
    <row r="643" spans="1:72" x14ac:dyDescent="0.15">
      <c r="A643" t="s">
        <v>72</v>
      </c>
      <c r="B643" t="s">
        <v>8423</v>
      </c>
      <c r="C643" t="s">
        <v>74</v>
      </c>
      <c r="D643" t="s">
        <v>74</v>
      </c>
      <c r="E643" t="s">
        <v>74</v>
      </c>
      <c r="F643" t="s">
        <v>8423</v>
      </c>
      <c r="G643" t="s">
        <v>74</v>
      </c>
      <c r="H643" t="s">
        <v>74</v>
      </c>
      <c r="I643" t="s">
        <v>8424</v>
      </c>
      <c r="J643" t="s">
        <v>221</v>
      </c>
      <c r="K643" t="s">
        <v>74</v>
      </c>
      <c r="L643" t="s">
        <v>74</v>
      </c>
      <c r="M643" t="s">
        <v>77</v>
      </c>
      <c r="N643" t="s">
        <v>78</v>
      </c>
      <c r="O643" t="s">
        <v>74</v>
      </c>
      <c r="P643" t="s">
        <v>74</v>
      </c>
      <c r="Q643" t="s">
        <v>74</v>
      </c>
      <c r="R643" t="s">
        <v>74</v>
      </c>
      <c r="S643" t="s">
        <v>74</v>
      </c>
      <c r="T643" t="s">
        <v>74</v>
      </c>
      <c r="U643" t="s">
        <v>8425</v>
      </c>
      <c r="V643" t="s">
        <v>8426</v>
      </c>
      <c r="W643" t="s">
        <v>8427</v>
      </c>
      <c r="X643" t="s">
        <v>8428</v>
      </c>
      <c r="Y643" t="s">
        <v>8429</v>
      </c>
      <c r="Z643" t="s">
        <v>8430</v>
      </c>
      <c r="AA643" t="s">
        <v>74</v>
      </c>
      <c r="AB643" t="s">
        <v>74</v>
      </c>
      <c r="AC643" t="s">
        <v>74</v>
      </c>
      <c r="AD643" t="s">
        <v>74</v>
      </c>
      <c r="AE643" t="s">
        <v>74</v>
      </c>
      <c r="AF643" t="s">
        <v>74</v>
      </c>
      <c r="AG643">
        <v>48</v>
      </c>
      <c r="AH643">
        <v>24</v>
      </c>
      <c r="AI643">
        <v>25</v>
      </c>
      <c r="AJ643">
        <v>1</v>
      </c>
      <c r="AK643">
        <v>5</v>
      </c>
      <c r="AL643" t="s">
        <v>230</v>
      </c>
      <c r="AM643" t="s">
        <v>231</v>
      </c>
      <c r="AN643" t="s">
        <v>232</v>
      </c>
      <c r="AO643" t="s">
        <v>233</v>
      </c>
      <c r="AP643" t="s">
        <v>74</v>
      </c>
      <c r="AQ643" t="s">
        <v>74</v>
      </c>
      <c r="AR643" t="s">
        <v>234</v>
      </c>
      <c r="AS643" t="s">
        <v>235</v>
      </c>
      <c r="AT643" t="s">
        <v>8406</v>
      </c>
      <c r="AU643">
        <v>1999</v>
      </c>
      <c r="AV643">
        <v>104</v>
      </c>
      <c r="AW643" t="s">
        <v>8407</v>
      </c>
      <c r="AX643" t="s">
        <v>74</v>
      </c>
      <c r="AY643" t="s">
        <v>74</v>
      </c>
      <c r="AZ643" t="s">
        <v>74</v>
      </c>
      <c r="BA643" t="s">
        <v>74</v>
      </c>
      <c r="BB643">
        <v>9325</v>
      </c>
      <c r="BC643">
        <v>9336</v>
      </c>
      <c r="BD643" t="s">
        <v>74</v>
      </c>
      <c r="BE643" t="s">
        <v>8431</v>
      </c>
      <c r="BF643" t="str">
        <f>HYPERLINK("http://dx.doi.org/10.1029/1999JD900032","http://dx.doi.org/10.1029/1999JD900032")</f>
        <v>http://dx.doi.org/10.1029/1999JD900032</v>
      </c>
      <c r="BG643" t="s">
        <v>74</v>
      </c>
      <c r="BH643" t="s">
        <v>74</v>
      </c>
      <c r="BI643">
        <v>12</v>
      </c>
      <c r="BJ643" t="s">
        <v>95</v>
      </c>
      <c r="BK643" t="s">
        <v>96</v>
      </c>
      <c r="BL643" t="s">
        <v>95</v>
      </c>
      <c r="BM643" t="s">
        <v>8409</v>
      </c>
      <c r="BN643" t="s">
        <v>74</v>
      </c>
      <c r="BO643" t="s">
        <v>74</v>
      </c>
      <c r="BP643" t="s">
        <v>74</v>
      </c>
      <c r="BQ643" t="s">
        <v>74</v>
      </c>
      <c r="BR643" t="s">
        <v>99</v>
      </c>
      <c r="BS643" t="s">
        <v>8432</v>
      </c>
      <c r="BT643" t="str">
        <f>HYPERLINK("https%3A%2F%2Fwww.webofscience.com%2Fwos%2Fwoscc%2Ffull-record%2FWOS:000079925600015","View Full Record in Web of Science")</f>
        <v>View Full Record in Web of Science</v>
      </c>
    </row>
    <row r="644" spans="1:72" x14ac:dyDescent="0.15">
      <c r="A644" t="s">
        <v>72</v>
      </c>
      <c r="B644" t="s">
        <v>8433</v>
      </c>
      <c r="C644" t="s">
        <v>74</v>
      </c>
      <c r="D644" t="s">
        <v>74</v>
      </c>
      <c r="E644" t="s">
        <v>74</v>
      </c>
      <c r="F644" t="s">
        <v>8433</v>
      </c>
      <c r="G644" t="s">
        <v>74</v>
      </c>
      <c r="H644" t="s">
        <v>74</v>
      </c>
      <c r="I644" t="s">
        <v>8434</v>
      </c>
      <c r="J644" t="s">
        <v>221</v>
      </c>
      <c r="K644" t="s">
        <v>74</v>
      </c>
      <c r="L644" t="s">
        <v>74</v>
      </c>
      <c r="M644" t="s">
        <v>77</v>
      </c>
      <c r="N644" t="s">
        <v>78</v>
      </c>
      <c r="O644" t="s">
        <v>74</v>
      </c>
      <c r="P644" t="s">
        <v>74</v>
      </c>
      <c r="Q644" t="s">
        <v>74</v>
      </c>
      <c r="R644" t="s">
        <v>74</v>
      </c>
      <c r="S644" t="s">
        <v>74</v>
      </c>
      <c r="T644" t="s">
        <v>74</v>
      </c>
      <c r="U644" t="s">
        <v>8435</v>
      </c>
      <c r="V644" t="s">
        <v>8436</v>
      </c>
      <c r="W644" t="s">
        <v>7561</v>
      </c>
      <c r="X644" t="s">
        <v>1557</v>
      </c>
      <c r="Y644" t="s">
        <v>8437</v>
      </c>
      <c r="Z644" t="s">
        <v>8438</v>
      </c>
      <c r="AA644" t="s">
        <v>8439</v>
      </c>
      <c r="AB644" t="s">
        <v>8440</v>
      </c>
      <c r="AC644" t="s">
        <v>74</v>
      </c>
      <c r="AD644" t="s">
        <v>74</v>
      </c>
      <c r="AE644" t="s">
        <v>74</v>
      </c>
      <c r="AF644" t="s">
        <v>74</v>
      </c>
      <c r="AG644">
        <v>78</v>
      </c>
      <c r="AH644">
        <v>33</v>
      </c>
      <c r="AI644">
        <v>35</v>
      </c>
      <c r="AJ644">
        <v>0</v>
      </c>
      <c r="AK644">
        <v>5</v>
      </c>
      <c r="AL644" t="s">
        <v>230</v>
      </c>
      <c r="AM644" t="s">
        <v>231</v>
      </c>
      <c r="AN644" t="s">
        <v>232</v>
      </c>
      <c r="AO644" t="s">
        <v>233</v>
      </c>
      <c r="AP644" t="s">
        <v>74</v>
      </c>
      <c r="AQ644" t="s">
        <v>74</v>
      </c>
      <c r="AR644" t="s">
        <v>234</v>
      </c>
      <c r="AS644" t="s">
        <v>235</v>
      </c>
      <c r="AT644" t="s">
        <v>8406</v>
      </c>
      <c r="AU644">
        <v>1999</v>
      </c>
      <c r="AV644">
        <v>104</v>
      </c>
      <c r="AW644" t="s">
        <v>8407</v>
      </c>
      <c r="AX644" t="s">
        <v>74</v>
      </c>
      <c r="AY644" t="s">
        <v>74</v>
      </c>
      <c r="AZ644" t="s">
        <v>74</v>
      </c>
      <c r="BA644" t="s">
        <v>74</v>
      </c>
      <c r="BB644">
        <v>9337</v>
      </c>
      <c r="BC644">
        <v>9359</v>
      </c>
      <c r="BD644" t="s">
        <v>74</v>
      </c>
      <c r="BE644" t="s">
        <v>8441</v>
      </c>
      <c r="BF644" t="str">
        <f>HYPERLINK("http://dx.doi.org/10.1029/1999JD900088","http://dx.doi.org/10.1029/1999JD900088")</f>
        <v>http://dx.doi.org/10.1029/1999JD900088</v>
      </c>
      <c r="BG644" t="s">
        <v>74</v>
      </c>
      <c r="BH644" t="s">
        <v>74</v>
      </c>
      <c r="BI644">
        <v>23</v>
      </c>
      <c r="BJ644" t="s">
        <v>95</v>
      </c>
      <c r="BK644" t="s">
        <v>96</v>
      </c>
      <c r="BL644" t="s">
        <v>95</v>
      </c>
      <c r="BM644" t="s">
        <v>8409</v>
      </c>
      <c r="BN644" t="s">
        <v>74</v>
      </c>
      <c r="BO644" t="s">
        <v>250</v>
      </c>
      <c r="BP644" t="s">
        <v>74</v>
      </c>
      <c r="BQ644" t="s">
        <v>74</v>
      </c>
      <c r="BR644" t="s">
        <v>99</v>
      </c>
      <c r="BS644" t="s">
        <v>8442</v>
      </c>
      <c r="BT644" t="str">
        <f>HYPERLINK("https%3A%2F%2Fwww.webofscience.com%2Fwos%2Fwoscc%2Ffull-record%2FWOS:000079925600016","View Full Record in Web of Science")</f>
        <v>View Full Record in Web of Science</v>
      </c>
    </row>
    <row r="645" spans="1:72" x14ac:dyDescent="0.15">
      <c r="A645" t="s">
        <v>72</v>
      </c>
      <c r="B645" t="s">
        <v>8443</v>
      </c>
      <c r="C645" t="s">
        <v>74</v>
      </c>
      <c r="D645" t="s">
        <v>74</v>
      </c>
      <c r="E645" t="s">
        <v>74</v>
      </c>
      <c r="F645" t="s">
        <v>8443</v>
      </c>
      <c r="G645" t="s">
        <v>74</v>
      </c>
      <c r="H645" t="s">
        <v>74</v>
      </c>
      <c r="I645" t="s">
        <v>8444</v>
      </c>
      <c r="J645" t="s">
        <v>221</v>
      </c>
      <c r="K645" t="s">
        <v>74</v>
      </c>
      <c r="L645" t="s">
        <v>74</v>
      </c>
      <c r="M645" t="s">
        <v>77</v>
      </c>
      <c r="N645" t="s">
        <v>78</v>
      </c>
      <c r="O645" t="s">
        <v>74</v>
      </c>
      <c r="P645" t="s">
        <v>74</v>
      </c>
      <c r="Q645" t="s">
        <v>74</v>
      </c>
      <c r="R645" t="s">
        <v>74</v>
      </c>
      <c r="S645" t="s">
        <v>74</v>
      </c>
      <c r="T645" t="s">
        <v>74</v>
      </c>
      <c r="U645" t="s">
        <v>8445</v>
      </c>
      <c r="V645" t="s">
        <v>8446</v>
      </c>
      <c r="W645" t="s">
        <v>8447</v>
      </c>
      <c r="X645" t="s">
        <v>8448</v>
      </c>
      <c r="Y645" t="s">
        <v>8449</v>
      </c>
      <c r="Z645" t="s">
        <v>74</v>
      </c>
      <c r="AA645" t="s">
        <v>74</v>
      </c>
      <c r="AB645" t="s">
        <v>74</v>
      </c>
      <c r="AC645" t="s">
        <v>74</v>
      </c>
      <c r="AD645" t="s">
        <v>74</v>
      </c>
      <c r="AE645" t="s">
        <v>74</v>
      </c>
      <c r="AF645" t="s">
        <v>74</v>
      </c>
      <c r="AG645">
        <v>43</v>
      </c>
      <c r="AH645">
        <v>49</v>
      </c>
      <c r="AI645">
        <v>53</v>
      </c>
      <c r="AJ645">
        <v>0</v>
      </c>
      <c r="AK645">
        <v>10</v>
      </c>
      <c r="AL645" t="s">
        <v>230</v>
      </c>
      <c r="AM645" t="s">
        <v>231</v>
      </c>
      <c r="AN645" t="s">
        <v>232</v>
      </c>
      <c r="AO645" t="s">
        <v>233</v>
      </c>
      <c r="AP645" t="s">
        <v>74</v>
      </c>
      <c r="AQ645" t="s">
        <v>74</v>
      </c>
      <c r="AR645" t="s">
        <v>234</v>
      </c>
      <c r="AS645" t="s">
        <v>235</v>
      </c>
      <c r="AT645" t="s">
        <v>8406</v>
      </c>
      <c r="AU645">
        <v>1999</v>
      </c>
      <c r="AV645">
        <v>104</v>
      </c>
      <c r="AW645" t="s">
        <v>8407</v>
      </c>
      <c r="AX645" t="s">
        <v>74</v>
      </c>
      <c r="AY645" t="s">
        <v>74</v>
      </c>
      <c r="AZ645" t="s">
        <v>74</v>
      </c>
      <c r="BA645" t="s">
        <v>74</v>
      </c>
      <c r="BB645">
        <v>9381</v>
      </c>
      <c r="BC645">
        <v>9398</v>
      </c>
      <c r="BD645" t="s">
        <v>74</v>
      </c>
      <c r="BE645" t="s">
        <v>8450</v>
      </c>
      <c r="BF645" t="str">
        <f>HYPERLINK("http://dx.doi.org/10.1029/1999JD900033","http://dx.doi.org/10.1029/1999JD900033")</f>
        <v>http://dx.doi.org/10.1029/1999JD900033</v>
      </c>
      <c r="BG645" t="s">
        <v>74</v>
      </c>
      <c r="BH645" t="s">
        <v>74</v>
      </c>
      <c r="BI645">
        <v>18</v>
      </c>
      <c r="BJ645" t="s">
        <v>95</v>
      </c>
      <c r="BK645" t="s">
        <v>96</v>
      </c>
      <c r="BL645" t="s">
        <v>95</v>
      </c>
      <c r="BM645" t="s">
        <v>8409</v>
      </c>
      <c r="BN645" t="s">
        <v>74</v>
      </c>
      <c r="BO645" t="s">
        <v>74</v>
      </c>
      <c r="BP645" t="s">
        <v>74</v>
      </c>
      <c r="BQ645" t="s">
        <v>74</v>
      </c>
      <c r="BR645" t="s">
        <v>99</v>
      </c>
      <c r="BS645" t="s">
        <v>8451</v>
      </c>
      <c r="BT645" t="str">
        <f>HYPERLINK("https%3A%2F%2Fwww.webofscience.com%2Fwos%2Fwoscc%2Ffull-record%2FWOS:000079925600019","View Full Record in Web of Science")</f>
        <v>View Full Record in Web of Science</v>
      </c>
    </row>
    <row r="646" spans="1:72" x14ac:dyDescent="0.15">
      <c r="A646" t="s">
        <v>72</v>
      </c>
      <c r="B646" t="s">
        <v>8452</v>
      </c>
      <c r="C646" t="s">
        <v>74</v>
      </c>
      <c r="D646" t="s">
        <v>74</v>
      </c>
      <c r="E646" t="s">
        <v>74</v>
      </c>
      <c r="F646" t="s">
        <v>8452</v>
      </c>
      <c r="G646" t="s">
        <v>74</v>
      </c>
      <c r="H646" t="s">
        <v>74</v>
      </c>
      <c r="I646" t="s">
        <v>8453</v>
      </c>
      <c r="J646" t="s">
        <v>8454</v>
      </c>
      <c r="K646" t="s">
        <v>74</v>
      </c>
      <c r="L646" t="s">
        <v>74</v>
      </c>
      <c r="M646" t="s">
        <v>77</v>
      </c>
      <c r="N646" t="s">
        <v>78</v>
      </c>
      <c r="O646" t="s">
        <v>74</v>
      </c>
      <c r="P646" t="s">
        <v>74</v>
      </c>
      <c r="Q646" t="s">
        <v>74</v>
      </c>
      <c r="R646" t="s">
        <v>74</v>
      </c>
      <c r="S646" t="s">
        <v>74</v>
      </c>
      <c r="T646" t="s">
        <v>74</v>
      </c>
      <c r="U646" t="s">
        <v>8455</v>
      </c>
      <c r="V646" t="s">
        <v>8456</v>
      </c>
      <c r="W646" t="s">
        <v>8457</v>
      </c>
      <c r="X646" t="s">
        <v>8458</v>
      </c>
      <c r="Y646" t="s">
        <v>8459</v>
      </c>
      <c r="Z646" t="s">
        <v>74</v>
      </c>
      <c r="AA646" t="s">
        <v>74</v>
      </c>
      <c r="AB646" t="s">
        <v>74</v>
      </c>
      <c r="AC646" t="s">
        <v>74</v>
      </c>
      <c r="AD646" t="s">
        <v>74</v>
      </c>
      <c r="AE646" t="s">
        <v>74</v>
      </c>
      <c r="AF646" t="s">
        <v>74</v>
      </c>
      <c r="AG646">
        <v>33</v>
      </c>
      <c r="AH646">
        <v>144</v>
      </c>
      <c r="AI646">
        <v>157</v>
      </c>
      <c r="AJ646">
        <v>3</v>
      </c>
      <c r="AK646">
        <v>21</v>
      </c>
      <c r="AL646" t="s">
        <v>8460</v>
      </c>
      <c r="AM646" t="s">
        <v>1290</v>
      </c>
      <c r="AN646" t="s">
        <v>1862</v>
      </c>
      <c r="AO646" t="s">
        <v>8461</v>
      </c>
      <c r="AP646" t="s">
        <v>74</v>
      </c>
      <c r="AQ646" t="s">
        <v>74</v>
      </c>
      <c r="AR646" t="s">
        <v>8462</v>
      </c>
      <c r="AS646" t="s">
        <v>8463</v>
      </c>
      <c r="AT646" t="s">
        <v>8464</v>
      </c>
      <c r="AU646">
        <v>1999</v>
      </c>
      <c r="AV646">
        <v>274</v>
      </c>
      <c r="AW646">
        <v>17</v>
      </c>
      <c r="AX646" t="s">
        <v>74</v>
      </c>
      <c r="AY646" t="s">
        <v>74</v>
      </c>
      <c r="AZ646" t="s">
        <v>74</v>
      </c>
      <c r="BA646" t="s">
        <v>74</v>
      </c>
      <c r="BB646">
        <v>11761</v>
      </c>
      <c r="BC646">
        <v>11767</v>
      </c>
      <c r="BD646" t="s">
        <v>74</v>
      </c>
      <c r="BE646" t="s">
        <v>8465</v>
      </c>
      <c r="BF646" t="str">
        <f>HYPERLINK("http://dx.doi.org/10.1074/jbc.274.17.11761","http://dx.doi.org/10.1074/jbc.274.17.11761")</f>
        <v>http://dx.doi.org/10.1074/jbc.274.17.11761</v>
      </c>
      <c r="BG646" t="s">
        <v>74</v>
      </c>
      <c r="BH646" t="s">
        <v>74</v>
      </c>
      <c r="BI646">
        <v>7</v>
      </c>
      <c r="BJ646" t="s">
        <v>3233</v>
      </c>
      <c r="BK646" t="s">
        <v>96</v>
      </c>
      <c r="BL646" t="s">
        <v>3233</v>
      </c>
      <c r="BM646" t="s">
        <v>8466</v>
      </c>
      <c r="BN646">
        <v>10206992</v>
      </c>
      <c r="BO646" t="s">
        <v>98</v>
      </c>
      <c r="BP646" t="s">
        <v>74</v>
      </c>
      <c r="BQ646" t="s">
        <v>74</v>
      </c>
      <c r="BR646" t="s">
        <v>99</v>
      </c>
      <c r="BS646" t="s">
        <v>8467</v>
      </c>
      <c r="BT646" t="str">
        <f>HYPERLINK("https%3A%2F%2Fwww.webofscience.com%2Fwos%2Fwoscc%2Ffull-record%2FWOS:000079834800048","View Full Record in Web of Science")</f>
        <v>View Full Record in Web of Science</v>
      </c>
    </row>
    <row r="647" spans="1:72" x14ac:dyDescent="0.15">
      <c r="A647" t="s">
        <v>72</v>
      </c>
      <c r="B647" t="s">
        <v>8468</v>
      </c>
      <c r="C647" t="s">
        <v>74</v>
      </c>
      <c r="D647" t="s">
        <v>74</v>
      </c>
      <c r="E647" t="s">
        <v>74</v>
      </c>
      <c r="F647" t="s">
        <v>8468</v>
      </c>
      <c r="G647" t="s">
        <v>74</v>
      </c>
      <c r="H647" t="s">
        <v>74</v>
      </c>
      <c r="I647" t="s">
        <v>8469</v>
      </c>
      <c r="J647" t="s">
        <v>221</v>
      </c>
      <c r="K647" t="s">
        <v>74</v>
      </c>
      <c r="L647" t="s">
        <v>74</v>
      </c>
      <c r="M647" t="s">
        <v>77</v>
      </c>
      <c r="N647" t="s">
        <v>78</v>
      </c>
      <c r="O647" t="s">
        <v>74</v>
      </c>
      <c r="P647" t="s">
        <v>74</v>
      </c>
      <c r="Q647" t="s">
        <v>74</v>
      </c>
      <c r="R647" t="s">
        <v>74</v>
      </c>
      <c r="S647" t="s">
        <v>74</v>
      </c>
      <c r="T647" t="s">
        <v>74</v>
      </c>
      <c r="U647" t="s">
        <v>8470</v>
      </c>
      <c r="V647" t="s">
        <v>8471</v>
      </c>
      <c r="W647" t="s">
        <v>6863</v>
      </c>
      <c r="X647" t="s">
        <v>8472</v>
      </c>
      <c r="Y647" t="s">
        <v>8473</v>
      </c>
      <c r="Z647" t="s">
        <v>74</v>
      </c>
      <c r="AA647" t="s">
        <v>8474</v>
      </c>
      <c r="AB647" t="s">
        <v>74</v>
      </c>
      <c r="AC647" t="s">
        <v>74</v>
      </c>
      <c r="AD647" t="s">
        <v>74</v>
      </c>
      <c r="AE647" t="s">
        <v>74</v>
      </c>
      <c r="AF647" t="s">
        <v>74</v>
      </c>
      <c r="AG647">
        <v>86</v>
      </c>
      <c r="AH647">
        <v>58</v>
      </c>
      <c r="AI647">
        <v>60</v>
      </c>
      <c r="AJ647">
        <v>0</v>
      </c>
      <c r="AK647">
        <v>1</v>
      </c>
      <c r="AL647" t="s">
        <v>230</v>
      </c>
      <c r="AM647" t="s">
        <v>231</v>
      </c>
      <c r="AN647" t="s">
        <v>232</v>
      </c>
      <c r="AO647" t="s">
        <v>233</v>
      </c>
      <c r="AP647" t="s">
        <v>317</v>
      </c>
      <c r="AQ647" t="s">
        <v>74</v>
      </c>
      <c r="AR647" t="s">
        <v>234</v>
      </c>
      <c r="AS647" t="s">
        <v>235</v>
      </c>
      <c r="AT647" t="s">
        <v>8475</v>
      </c>
      <c r="AU647">
        <v>1999</v>
      </c>
      <c r="AV647">
        <v>104</v>
      </c>
      <c r="AW647" t="s">
        <v>8476</v>
      </c>
      <c r="AX647" t="s">
        <v>74</v>
      </c>
      <c r="AY647" t="s">
        <v>74</v>
      </c>
      <c r="AZ647" t="s">
        <v>74</v>
      </c>
      <c r="BA647" t="s">
        <v>74</v>
      </c>
      <c r="BB647">
        <v>8225</v>
      </c>
      <c r="BC647">
        <v>8246</v>
      </c>
      <c r="BD647" t="s">
        <v>74</v>
      </c>
      <c r="BE647" t="s">
        <v>8477</v>
      </c>
      <c r="BF647" t="str">
        <f>HYPERLINK("http://dx.doi.org/10.1029/1998JD100089","http://dx.doi.org/10.1029/1998JD100089")</f>
        <v>http://dx.doi.org/10.1029/1998JD100089</v>
      </c>
      <c r="BG647" t="s">
        <v>74</v>
      </c>
      <c r="BH647" t="s">
        <v>74</v>
      </c>
      <c r="BI647">
        <v>22</v>
      </c>
      <c r="BJ647" t="s">
        <v>95</v>
      </c>
      <c r="BK647" t="s">
        <v>96</v>
      </c>
      <c r="BL647" t="s">
        <v>95</v>
      </c>
      <c r="BM647" t="s">
        <v>8478</v>
      </c>
      <c r="BN647" t="s">
        <v>74</v>
      </c>
      <c r="BO647" t="s">
        <v>250</v>
      </c>
      <c r="BP647" t="s">
        <v>74</v>
      </c>
      <c r="BQ647" t="s">
        <v>74</v>
      </c>
      <c r="BR647" t="s">
        <v>99</v>
      </c>
      <c r="BS647" t="s">
        <v>8479</v>
      </c>
      <c r="BT647" t="str">
        <f>HYPERLINK("https%3A%2F%2Fwww.webofscience.com%2Fwos%2Fwoscc%2Ffull-record%2FWOS:000079793600016","View Full Record in Web of Science")</f>
        <v>View Full Record in Web of Science</v>
      </c>
    </row>
    <row r="648" spans="1:72" x14ac:dyDescent="0.15">
      <c r="A648" t="s">
        <v>72</v>
      </c>
      <c r="B648" t="s">
        <v>8480</v>
      </c>
      <c r="C648" t="s">
        <v>74</v>
      </c>
      <c r="D648" t="s">
        <v>74</v>
      </c>
      <c r="E648" t="s">
        <v>74</v>
      </c>
      <c r="F648" t="s">
        <v>8480</v>
      </c>
      <c r="G648" t="s">
        <v>74</v>
      </c>
      <c r="H648" t="s">
        <v>74</v>
      </c>
      <c r="I648" t="s">
        <v>8481</v>
      </c>
      <c r="J648" t="s">
        <v>8482</v>
      </c>
      <c r="K648" t="s">
        <v>74</v>
      </c>
      <c r="L648" t="s">
        <v>74</v>
      </c>
      <c r="M648" t="s">
        <v>77</v>
      </c>
      <c r="N648" t="s">
        <v>78</v>
      </c>
      <c r="O648" t="s">
        <v>74</v>
      </c>
      <c r="P648" t="s">
        <v>74</v>
      </c>
      <c r="Q648" t="s">
        <v>74</v>
      </c>
      <c r="R648" t="s">
        <v>74</v>
      </c>
      <c r="S648" t="s">
        <v>74</v>
      </c>
      <c r="T648" t="s">
        <v>74</v>
      </c>
      <c r="U648" t="s">
        <v>74</v>
      </c>
      <c r="V648" t="s">
        <v>74</v>
      </c>
      <c r="W648" t="s">
        <v>8483</v>
      </c>
      <c r="X648" t="s">
        <v>8484</v>
      </c>
      <c r="Y648" t="s">
        <v>8485</v>
      </c>
      <c r="Z648" t="s">
        <v>74</v>
      </c>
      <c r="AA648" t="s">
        <v>4838</v>
      </c>
      <c r="AB648" t="s">
        <v>4839</v>
      </c>
      <c r="AC648" t="s">
        <v>74</v>
      </c>
      <c r="AD648" t="s">
        <v>74</v>
      </c>
      <c r="AE648" t="s">
        <v>74</v>
      </c>
      <c r="AF648" t="s">
        <v>74</v>
      </c>
      <c r="AG648">
        <v>0</v>
      </c>
      <c r="AH648">
        <v>3</v>
      </c>
      <c r="AI648">
        <v>3</v>
      </c>
      <c r="AJ648">
        <v>0</v>
      </c>
      <c r="AK648">
        <v>0</v>
      </c>
      <c r="AL648" t="s">
        <v>8486</v>
      </c>
      <c r="AM648" t="s">
        <v>8487</v>
      </c>
      <c r="AN648" t="s">
        <v>8488</v>
      </c>
      <c r="AO648" t="s">
        <v>8489</v>
      </c>
      <c r="AP648" t="s">
        <v>74</v>
      </c>
      <c r="AQ648" t="s">
        <v>74</v>
      </c>
      <c r="AR648" t="s">
        <v>8490</v>
      </c>
      <c r="AS648" t="s">
        <v>8491</v>
      </c>
      <c r="AT648" t="s">
        <v>8492</v>
      </c>
      <c r="AU648">
        <v>1999</v>
      </c>
      <c r="AV648">
        <v>162</v>
      </c>
      <c r="AW648">
        <v>2182</v>
      </c>
      <c r="AX648" t="s">
        <v>74</v>
      </c>
      <c r="AY648" t="s">
        <v>74</v>
      </c>
      <c r="AZ648" t="s">
        <v>74</v>
      </c>
      <c r="BA648" t="s">
        <v>74</v>
      </c>
      <c r="BB648">
        <v>36</v>
      </c>
      <c r="BC648">
        <v>41</v>
      </c>
      <c r="BD648" t="s">
        <v>74</v>
      </c>
      <c r="BE648" t="s">
        <v>74</v>
      </c>
      <c r="BF648" t="s">
        <v>74</v>
      </c>
      <c r="BG648" t="s">
        <v>74</v>
      </c>
      <c r="BH648" t="s">
        <v>74</v>
      </c>
      <c r="BI648">
        <v>6</v>
      </c>
      <c r="BJ648" t="s">
        <v>303</v>
      </c>
      <c r="BK648" t="s">
        <v>96</v>
      </c>
      <c r="BL648" t="s">
        <v>304</v>
      </c>
      <c r="BM648" t="s">
        <v>8493</v>
      </c>
      <c r="BN648" t="s">
        <v>74</v>
      </c>
      <c r="BO648" t="s">
        <v>74</v>
      </c>
      <c r="BP648" t="s">
        <v>74</v>
      </c>
      <c r="BQ648" t="s">
        <v>74</v>
      </c>
      <c r="BR648" t="s">
        <v>99</v>
      </c>
      <c r="BS648" t="s">
        <v>8494</v>
      </c>
      <c r="BT648" t="str">
        <f>HYPERLINK("https%3A%2F%2Fwww.webofscience.com%2Fwos%2Fwoscc%2Ffull-record%2FWOS:000079802900031","View Full Record in Web of Science")</f>
        <v>View Full Record in Web of Science</v>
      </c>
    </row>
    <row r="649" spans="1:72" x14ac:dyDescent="0.15">
      <c r="A649" t="s">
        <v>72</v>
      </c>
      <c r="B649" t="s">
        <v>8495</v>
      </c>
      <c r="C649" t="s">
        <v>74</v>
      </c>
      <c r="D649" t="s">
        <v>74</v>
      </c>
      <c r="E649" t="s">
        <v>74</v>
      </c>
      <c r="F649" t="s">
        <v>8495</v>
      </c>
      <c r="G649" t="s">
        <v>74</v>
      </c>
      <c r="H649" t="s">
        <v>74</v>
      </c>
      <c r="I649" t="s">
        <v>8496</v>
      </c>
      <c r="J649" t="s">
        <v>8497</v>
      </c>
      <c r="K649" t="s">
        <v>74</v>
      </c>
      <c r="L649" t="s">
        <v>74</v>
      </c>
      <c r="M649" t="s">
        <v>77</v>
      </c>
      <c r="N649" t="s">
        <v>78</v>
      </c>
      <c r="O649" t="s">
        <v>74</v>
      </c>
      <c r="P649" t="s">
        <v>74</v>
      </c>
      <c r="Q649" t="s">
        <v>74</v>
      </c>
      <c r="R649" t="s">
        <v>74</v>
      </c>
      <c r="S649" t="s">
        <v>74</v>
      </c>
      <c r="T649" t="s">
        <v>8498</v>
      </c>
      <c r="U649" t="s">
        <v>8499</v>
      </c>
      <c r="V649" t="s">
        <v>8500</v>
      </c>
      <c r="W649" t="s">
        <v>8501</v>
      </c>
      <c r="X649" t="s">
        <v>8502</v>
      </c>
      <c r="Y649" t="s">
        <v>8503</v>
      </c>
      <c r="Z649" t="s">
        <v>74</v>
      </c>
      <c r="AA649" t="s">
        <v>8504</v>
      </c>
      <c r="AB649" t="s">
        <v>8505</v>
      </c>
      <c r="AC649" t="s">
        <v>74</v>
      </c>
      <c r="AD649" t="s">
        <v>74</v>
      </c>
      <c r="AE649" t="s">
        <v>74</v>
      </c>
      <c r="AF649" t="s">
        <v>74</v>
      </c>
      <c r="AG649">
        <v>23</v>
      </c>
      <c r="AH649">
        <v>61</v>
      </c>
      <c r="AI649">
        <v>64</v>
      </c>
      <c r="AJ649">
        <v>0</v>
      </c>
      <c r="AK649">
        <v>3</v>
      </c>
      <c r="AL649" t="s">
        <v>2171</v>
      </c>
      <c r="AM649" t="s">
        <v>531</v>
      </c>
      <c r="AN649" t="s">
        <v>532</v>
      </c>
      <c r="AO649" t="s">
        <v>8506</v>
      </c>
      <c r="AP649" t="s">
        <v>74</v>
      </c>
      <c r="AQ649" t="s">
        <v>74</v>
      </c>
      <c r="AR649" t="s">
        <v>8507</v>
      </c>
      <c r="AS649" t="s">
        <v>8508</v>
      </c>
      <c r="AT649" t="s">
        <v>8509</v>
      </c>
      <c r="AU649">
        <v>1999</v>
      </c>
      <c r="AV649">
        <v>287</v>
      </c>
      <c r="AW649">
        <v>5</v>
      </c>
      <c r="AX649" t="s">
        <v>74</v>
      </c>
      <c r="AY649" t="s">
        <v>74</v>
      </c>
      <c r="AZ649" t="s">
        <v>74</v>
      </c>
      <c r="BA649" t="s">
        <v>74</v>
      </c>
      <c r="BB649">
        <v>897</v>
      </c>
      <c r="BC649">
        <v>906</v>
      </c>
      <c r="BD649" t="s">
        <v>74</v>
      </c>
      <c r="BE649" t="s">
        <v>8510</v>
      </c>
      <c r="BF649" t="str">
        <f>HYPERLINK("http://dx.doi.org/10.1006/jmbi.1999.2632","http://dx.doi.org/10.1006/jmbi.1999.2632")</f>
        <v>http://dx.doi.org/10.1006/jmbi.1999.2632</v>
      </c>
      <c r="BG649" t="s">
        <v>74</v>
      </c>
      <c r="BH649" t="s">
        <v>74</v>
      </c>
      <c r="BI649">
        <v>10</v>
      </c>
      <c r="BJ649" t="s">
        <v>3233</v>
      </c>
      <c r="BK649" t="s">
        <v>96</v>
      </c>
      <c r="BL649" t="s">
        <v>3233</v>
      </c>
      <c r="BM649" t="s">
        <v>8511</v>
      </c>
      <c r="BN649">
        <v>10222199</v>
      </c>
      <c r="BO649" t="s">
        <v>74</v>
      </c>
      <c r="BP649" t="s">
        <v>74</v>
      </c>
      <c r="BQ649" t="s">
        <v>74</v>
      </c>
      <c r="BR649" t="s">
        <v>99</v>
      </c>
      <c r="BS649" t="s">
        <v>8512</v>
      </c>
      <c r="BT649" t="str">
        <f>HYPERLINK("https%3A%2F%2Fwww.webofscience.com%2Fwos%2Fwoscc%2Ffull-record%2FWOS:000079812000009","View Full Record in Web of Science")</f>
        <v>View Full Record in Web of Science</v>
      </c>
    </row>
    <row r="650" spans="1:72" x14ac:dyDescent="0.15">
      <c r="A650" t="s">
        <v>72</v>
      </c>
      <c r="B650" t="s">
        <v>8513</v>
      </c>
      <c r="C650" t="s">
        <v>74</v>
      </c>
      <c r="D650" t="s">
        <v>74</v>
      </c>
      <c r="E650" t="s">
        <v>74</v>
      </c>
      <c r="F650" t="s">
        <v>8513</v>
      </c>
      <c r="G650" t="s">
        <v>74</v>
      </c>
      <c r="H650" t="s">
        <v>74</v>
      </c>
      <c r="I650" t="s">
        <v>8514</v>
      </c>
      <c r="J650" t="s">
        <v>1600</v>
      </c>
      <c r="K650" t="s">
        <v>74</v>
      </c>
      <c r="L650" t="s">
        <v>74</v>
      </c>
      <c r="M650" t="s">
        <v>77</v>
      </c>
      <c r="N650" t="s">
        <v>78</v>
      </c>
      <c r="O650" t="s">
        <v>74</v>
      </c>
      <c r="P650" t="s">
        <v>74</v>
      </c>
      <c r="Q650" t="s">
        <v>74</v>
      </c>
      <c r="R650" t="s">
        <v>74</v>
      </c>
      <c r="S650" t="s">
        <v>74</v>
      </c>
      <c r="T650" t="s">
        <v>8515</v>
      </c>
      <c r="U650" t="s">
        <v>8516</v>
      </c>
      <c r="V650" t="s">
        <v>8517</v>
      </c>
      <c r="W650" t="s">
        <v>8518</v>
      </c>
      <c r="X650" t="s">
        <v>8519</v>
      </c>
      <c r="Y650" t="s">
        <v>8520</v>
      </c>
      <c r="Z650" t="s">
        <v>8521</v>
      </c>
      <c r="AA650" t="s">
        <v>8522</v>
      </c>
      <c r="AB650" t="s">
        <v>8523</v>
      </c>
      <c r="AC650" t="s">
        <v>74</v>
      </c>
      <c r="AD650" t="s">
        <v>74</v>
      </c>
      <c r="AE650" t="s">
        <v>74</v>
      </c>
      <c r="AF650" t="s">
        <v>74</v>
      </c>
      <c r="AG650">
        <v>35</v>
      </c>
      <c r="AH650">
        <v>146</v>
      </c>
      <c r="AI650">
        <v>171</v>
      </c>
      <c r="AJ650">
        <v>0</v>
      </c>
      <c r="AK650">
        <v>15</v>
      </c>
      <c r="AL650" t="s">
        <v>210</v>
      </c>
      <c r="AM650" t="s">
        <v>211</v>
      </c>
      <c r="AN650" t="s">
        <v>212</v>
      </c>
      <c r="AO650" t="s">
        <v>1609</v>
      </c>
      <c r="AP650" t="s">
        <v>1610</v>
      </c>
      <c r="AQ650" t="s">
        <v>74</v>
      </c>
      <c r="AR650" t="s">
        <v>1611</v>
      </c>
      <c r="AS650" t="s">
        <v>1612</v>
      </c>
      <c r="AT650" t="s">
        <v>8524</v>
      </c>
      <c r="AU650">
        <v>1999</v>
      </c>
      <c r="AV650">
        <v>167</v>
      </c>
      <c r="AW650" t="s">
        <v>141</v>
      </c>
      <c r="AX650" t="s">
        <v>74</v>
      </c>
      <c r="AY650" t="s">
        <v>74</v>
      </c>
      <c r="AZ650" t="s">
        <v>74</v>
      </c>
      <c r="BA650" t="s">
        <v>74</v>
      </c>
      <c r="BB650">
        <v>215</v>
      </c>
      <c r="BC650">
        <v>226</v>
      </c>
      <c r="BD650" t="s">
        <v>74</v>
      </c>
      <c r="BE650" t="s">
        <v>8525</v>
      </c>
      <c r="BF650" t="str">
        <f>HYPERLINK("http://dx.doi.org/10.1016/S0012-821X(99)00029-1","http://dx.doi.org/10.1016/S0012-821X(99)00029-1")</f>
        <v>http://dx.doi.org/10.1016/S0012-821X(99)00029-1</v>
      </c>
      <c r="BG650" t="s">
        <v>74</v>
      </c>
      <c r="BH650" t="s">
        <v>74</v>
      </c>
      <c r="BI650">
        <v>12</v>
      </c>
      <c r="BJ650" t="s">
        <v>216</v>
      </c>
      <c r="BK650" t="s">
        <v>96</v>
      </c>
      <c r="BL650" t="s">
        <v>216</v>
      </c>
      <c r="BM650" t="s">
        <v>8526</v>
      </c>
      <c r="BN650" t="s">
        <v>74</v>
      </c>
      <c r="BO650" t="s">
        <v>74</v>
      </c>
      <c r="BP650" t="s">
        <v>74</v>
      </c>
      <c r="BQ650" t="s">
        <v>74</v>
      </c>
      <c r="BR650" t="s">
        <v>99</v>
      </c>
      <c r="BS650" t="s">
        <v>8527</v>
      </c>
      <c r="BT650" t="str">
        <f>HYPERLINK("https%3A%2F%2Fwww.webofscience.com%2Fwos%2Fwoscc%2Ffull-record%2FWOS:000079542900008","View Full Record in Web of Science")</f>
        <v>View Full Record in Web of Science</v>
      </c>
    </row>
    <row r="651" spans="1:72" x14ac:dyDescent="0.15">
      <c r="A651" t="s">
        <v>72</v>
      </c>
      <c r="B651" t="s">
        <v>8528</v>
      </c>
      <c r="C651" t="s">
        <v>74</v>
      </c>
      <c r="D651" t="s">
        <v>74</v>
      </c>
      <c r="E651" t="s">
        <v>74</v>
      </c>
      <c r="F651" t="s">
        <v>8528</v>
      </c>
      <c r="G651" t="s">
        <v>74</v>
      </c>
      <c r="H651" t="s">
        <v>74</v>
      </c>
      <c r="I651" t="s">
        <v>8529</v>
      </c>
      <c r="J651" t="s">
        <v>8530</v>
      </c>
      <c r="K651" t="s">
        <v>74</v>
      </c>
      <c r="L651" t="s">
        <v>74</v>
      </c>
      <c r="M651" t="s">
        <v>77</v>
      </c>
      <c r="N651" t="s">
        <v>78</v>
      </c>
      <c r="O651" t="s">
        <v>74</v>
      </c>
      <c r="P651" t="s">
        <v>74</v>
      </c>
      <c r="Q651" t="s">
        <v>74</v>
      </c>
      <c r="R651" t="s">
        <v>74</v>
      </c>
      <c r="S651" t="s">
        <v>74</v>
      </c>
      <c r="T651" t="s">
        <v>8531</v>
      </c>
      <c r="U651" t="s">
        <v>8532</v>
      </c>
      <c r="V651" t="s">
        <v>8533</v>
      </c>
      <c r="W651" t="s">
        <v>6174</v>
      </c>
      <c r="X651" t="s">
        <v>6175</v>
      </c>
      <c r="Y651" t="s">
        <v>8534</v>
      </c>
      <c r="Z651" t="s">
        <v>6177</v>
      </c>
      <c r="AA651" t="s">
        <v>74</v>
      </c>
      <c r="AB651" t="s">
        <v>8535</v>
      </c>
      <c r="AC651" t="s">
        <v>74</v>
      </c>
      <c r="AD651" t="s">
        <v>74</v>
      </c>
      <c r="AE651" t="s">
        <v>74</v>
      </c>
      <c r="AF651" t="s">
        <v>74</v>
      </c>
      <c r="AG651">
        <v>39</v>
      </c>
      <c r="AH651">
        <v>5</v>
      </c>
      <c r="AI651">
        <v>7</v>
      </c>
      <c r="AJ651">
        <v>0</v>
      </c>
      <c r="AK651">
        <v>1</v>
      </c>
      <c r="AL651" t="s">
        <v>1090</v>
      </c>
      <c r="AM651" t="s">
        <v>276</v>
      </c>
      <c r="AN651" t="s">
        <v>1091</v>
      </c>
      <c r="AO651" t="s">
        <v>8536</v>
      </c>
      <c r="AP651" t="s">
        <v>8537</v>
      </c>
      <c r="AQ651" t="s">
        <v>74</v>
      </c>
      <c r="AR651" t="s">
        <v>8538</v>
      </c>
      <c r="AS651" t="s">
        <v>8539</v>
      </c>
      <c r="AT651" t="s">
        <v>8524</v>
      </c>
      <c r="AU651">
        <v>1999</v>
      </c>
      <c r="AV651">
        <v>173</v>
      </c>
      <c r="AW651">
        <v>2</v>
      </c>
      <c r="AX651" t="s">
        <v>74</v>
      </c>
      <c r="AY651" t="s">
        <v>74</v>
      </c>
      <c r="AZ651" t="s">
        <v>74</v>
      </c>
      <c r="BA651" t="s">
        <v>74</v>
      </c>
      <c r="BB651">
        <v>379</v>
      </c>
      <c r="BC651">
        <v>388</v>
      </c>
      <c r="BD651" t="s">
        <v>74</v>
      </c>
      <c r="BE651" t="s">
        <v>8540</v>
      </c>
      <c r="BF651" t="str">
        <f>HYPERLINK("http://dx.doi.org/10.1016/S0378-1097(99)00105-6","http://dx.doi.org/10.1016/S0378-1097(99)00105-6")</f>
        <v>http://dx.doi.org/10.1016/S0378-1097(99)00105-6</v>
      </c>
      <c r="BG651" t="s">
        <v>74</v>
      </c>
      <c r="BH651" t="s">
        <v>74</v>
      </c>
      <c r="BI651">
        <v>10</v>
      </c>
      <c r="BJ651" t="s">
        <v>2075</v>
      </c>
      <c r="BK651" t="s">
        <v>96</v>
      </c>
      <c r="BL651" t="s">
        <v>2075</v>
      </c>
      <c r="BM651" t="s">
        <v>8541</v>
      </c>
      <c r="BN651">
        <v>10227168</v>
      </c>
      <c r="BO651" t="s">
        <v>250</v>
      </c>
      <c r="BP651" t="s">
        <v>74</v>
      </c>
      <c r="BQ651" t="s">
        <v>74</v>
      </c>
      <c r="BR651" t="s">
        <v>99</v>
      </c>
      <c r="BS651" t="s">
        <v>8542</v>
      </c>
      <c r="BT651" t="str">
        <f>HYPERLINK("https%3A%2F%2Fwww.webofscience.com%2Fwos%2Fwoscc%2Ffull-record%2FWOS:000079640800016","View Full Record in Web of Science")</f>
        <v>View Full Record in Web of Science</v>
      </c>
    </row>
    <row r="652" spans="1:72" x14ac:dyDescent="0.15">
      <c r="A652" t="s">
        <v>72</v>
      </c>
      <c r="B652" t="s">
        <v>8543</v>
      </c>
      <c r="C652" t="s">
        <v>74</v>
      </c>
      <c r="D652" t="s">
        <v>74</v>
      </c>
      <c r="E652" t="s">
        <v>74</v>
      </c>
      <c r="F652" t="s">
        <v>8543</v>
      </c>
      <c r="G652" t="s">
        <v>74</v>
      </c>
      <c r="H652" t="s">
        <v>74</v>
      </c>
      <c r="I652" t="s">
        <v>8544</v>
      </c>
      <c r="J652" t="s">
        <v>378</v>
      </c>
      <c r="K652" t="s">
        <v>74</v>
      </c>
      <c r="L652" t="s">
        <v>74</v>
      </c>
      <c r="M652" t="s">
        <v>77</v>
      </c>
      <c r="N652" t="s">
        <v>78</v>
      </c>
      <c r="O652" t="s">
        <v>74</v>
      </c>
      <c r="P652" t="s">
        <v>74</v>
      </c>
      <c r="Q652" t="s">
        <v>74</v>
      </c>
      <c r="R652" t="s">
        <v>74</v>
      </c>
      <c r="S652" t="s">
        <v>74</v>
      </c>
      <c r="T652" t="s">
        <v>74</v>
      </c>
      <c r="U652" t="s">
        <v>8545</v>
      </c>
      <c r="V652" t="s">
        <v>8546</v>
      </c>
      <c r="W652" t="s">
        <v>1711</v>
      </c>
      <c r="X652" t="s">
        <v>1712</v>
      </c>
      <c r="Y652" t="s">
        <v>8547</v>
      </c>
      <c r="Z652" t="s">
        <v>74</v>
      </c>
      <c r="AA652" t="s">
        <v>74</v>
      </c>
      <c r="AB652" t="s">
        <v>74</v>
      </c>
      <c r="AC652" t="s">
        <v>74</v>
      </c>
      <c r="AD652" t="s">
        <v>74</v>
      </c>
      <c r="AE652" t="s">
        <v>74</v>
      </c>
      <c r="AF652" t="s">
        <v>74</v>
      </c>
      <c r="AG652">
        <v>25</v>
      </c>
      <c r="AH652">
        <v>27</v>
      </c>
      <c r="AI652">
        <v>30</v>
      </c>
      <c r="AJ652">
        <v>0</v>
      </c>
      <c r="AK652">
        <v>7</v>
      </c>
      <c r="AL652" t="s">
        <v>230</v>
      </c>
      <c r="AM652" t="s">
        <v>231</v>
      </c>
      <c r="AN652" t="s">
        <v>232</v>
      </c>
      <c r="AO652" t="s">
        <v>382</v>
      </c>
      <c r="AP652" t="s">
        <v>74</v>
      </c>
      <c r="AQ652" t="s">
        <v>74</v>
      </c>
      <c r="AR652" t="s">
        <v>383</v>
      </c>
      <c r="AS652" t="s">
        <v>384</v>
      </c>
      <c r="AT652" t="s">
        <v>8524</v>
      </c>
      <c r="AU652">
        <v>1999</v>
      </c>
      <c r="AV652">
        <v>26</v>
      </c>
      <c r="AW652">
        <v>8</v>
      </c>
      <c r="AX652" t="s">
        <v>74</v>
      </c>
      <c r="AY652" t="s">
        <v>74</v>
      </c>
      <c r="AZ652" t="s">
        <v>74</v>
      </c>
      <c r="BA652" t="s">
        <v>74</v>
      </c>
      <c r="BB652">
        <v>1015</v>
      </c>
      <c r="BC652">
        <v>1018</v>
      </c>
      <c r="BD652" t="s">
        <v>74</v>
      </c>
      <c r="BE652" t="s">
        <v>8548</v>
      </c>
      <c r="BF652" t="str">
        <f>HYPERLINK("http://dx.doi.org/10.1029/1999GL900159","http://dx.doi.org/10.1029/1999GL900159")</f>
        <v>http://dx.doi.org/10.1029/1999GL900159</v>
      </c>
      <c r="BG652" t="s">
        <v>74</v>
      </c>
      <c r="BH652" t="s">
        <v>74</v>
      </c>
      <c r="BI652">
        <v>4</v>
      </c>
      <c r="BJ652" t="s">
        <v>387</v>
      </c>
      <c r="BK652" t="s">
        <v>96</v>
      </c>
      <c r="BL652" t="s">
        <v>388</v>
      </c>
      <c r="BM652" t="s">
        <v>8549</v>
      </c>
      <c r="BN652" t="s">
        <v>74</v>
      </c>
      <c r="BO652" t="s">
        <v>250</v>
      </c>
      <c r="BP652" t="s">
        <v>74</v>
      </c>
      <c r="BQ652" t="s">
        <v>74</v>
      </c>
      <c r="BR652" t="s">
        <v>99</v>
      </c>
      <c r="BS652" t="s">
        <v>8550</v>
      </c>
      <c r="BT652" t="str">
        <f>HYPERLINK("https%3A%2F%2Fwww.webofscience.com%2Fwos%2Fwoscc%2Ffull-record%2FWOS:000079793700003","View Full Record in Web of Science")</f>
        <v>View Full Record in Web of Science</v>
      </c>
    </row>
    <row r="653" spans="1:72" x14ac:dyDescent="0.15">
      <c r="A653" t="s">
        <v>72</v>
      </c>
      <c r="B653" t="s">
        <v>8551</v>
      </c>
      <c r="C653" t="s">
        <v>74</v>
      </c>
      <c r="D653" t="s">
        <v>74</v>
      </c>
      <c r="E653" t="s">
        <v>74</v>
      </c>
      <c r="F653" t="s">
        <v>8551</v>
      </c>
      <c r="G653" t="s">
        <v>74</v>
      </c>
      <c r="H653" t="s">
        <v>74</v>
      </c>
      <c r="I653" t="s">
        <v>8552</v>
      </c>
      <c r="J653" t="s">
        <v>378</v>
      </c>
      <c r="K653" t="s">
        <v>74</v>
      </c>
      <c r="L653" t="s">
        <v>74</v>
      </c>
      <c r="M653" t="s">
        <v>77</v>
      </c>
      <c r="N653" t="s">
        <v>78</v>
      </c>
      <c r="O653" t="s">
        <v>74</v>
      </c>
      <c r="P653" t="s">
        <v>74</v>
      </c>
      <c r="Q653" t="s">
        <v>74</v>
      </c>
      <c r="R653" t="s">
        <v>74</v>
      </c>
      <c r="S653" t="s">
        <v>74</v>
      </c>
      <c r="T653" t="s">
        <v>74</v>
      </c>
      <c r="U653" t="s">
        <v>8553</v>
      </c>
      <c r="V653" t="s">
        <v>8554</v>
      </c>
      <c r="W653" t="s">
        <v>8555</v>
      </c>
      <c r="X653" t="s">
        <v>8556</v>
      </c>
      <c r="Y653" t="s">
        <v>8557</v>
      </c>
      <c r="Z653" t="s">
        <v>74</v>
      </c>
      <c r="AA653" t="s">
        <v>8558</v>
      </c>
      <c r="AB653" t="s">
        <v>8559</v>
      </c>
      <c r="AC653" t="s">
        <v>74</v>
      </c>
      <c r="AD653" t="s">
        <v>74</v>
      </c>
      <c r="AE653" t="s">
        <v>74</v>
      </c>
      <c r="AF653" t="s">
        <v>74</v>
      </c>
      <c r="AG653">
        <v>24</v>
      </c>
      <c r="AH653">
        <v>73</v>
      </c>
      <c r="AI653">
        <v>75</v>
      </c>
      <c r="AJ653">
        <v>0</v>
      </c>
      <c r="AK653">
        <v>6</v>
      </c>
      <c r="AL653" t="s">
        <v>230</v>
      </c>
      <c r="AM653" t="s">
        <v>231</v>
      </c>
      <c r="AN653" t="s">
        <v>232</v>
      </c>
      <c r="AO653" t="s">
        <v>382</v>
      </c>
      <c r="AP653" t="s">
        <v>74</v>
      </c>
      <c r="AQ653" t="s">
        <v>74</v>
      </c>
      <c r="AR653" t="s">
        <v>383</v>
      </c>
      <c r="AS653" t="s">
        <v>384</v>
      </c>
      <c r="AT653" t="s">
        <v>8524</v>
      </c>
      <c r="AU653">
        <v>1999</v>
      </c>
      <c r="AV653">
        <v>26</v>
      </c>
      <c r="AW653">
        <v>8</v>
      </c>
      <c r="AX653" t="s">
        <v>74</v>
      </c>
      <c r="AY653" t="s">
        <v>74</v>
      </c>
      <c r="AZ653" t="s">
        <v>74</v>
      </c>
      <c r="BA653" t="s">
        <v>74</v>
      </c>
      <c r="BB653">
        <v>1101</v>
      </c>
      <c r="BC653">
        <v>1104</v>
      </c>
      <c r="BD653" t="s">
        <v>74</v>
      </c>
      <c r="BE653" t="s">
        <v>8560</v>
      </c>
      <c r="BF653" t="str">
        <f>HYPERLINK("http://dx.doi.org/10.1029/1999GL900196","http://dx.doi.org/10.1029/1999GL900196")</f>
        <v>http://dx.doi.org/10.1029/1999GL900196</v>
      </c>
      <c r="BG653" t="s">
        <v>74</v>
      </c>
      <c r="BH653" t="s">
        <v>74</v>
      </c>
      <c r="BI653">
        <v>4</v>
      </c>
      <c r="BJ653" t="s">
        <v>387</v>
      </c>
      <c r="BK653" t="s">
        <v>96</v>
      </c>
      <c r="BL653" t="s">
        <v>388</v>
      </c>
      <c r="BM653" t="s">
        <v>8549</v>
      </c>
      <c r="BN653" t="s">
        <v>74</v>
      </c>
      <c r="BO653" t="s">
        <v>74</v>
      </c>
      <c r="BP653" t="s">
        <v>74</v>
      </c>
      <c r="BQ653" t="s">
        <v>74</v>
      </c>
      <c r="BR653" t="s">
        <v>99</v>
      </c>
      <c r="BS653" t="s">
        <v>8561</v>
      </c>
      <c r="BT653" t="str">
        <f>HYPERLINK("https%3A%2F%2Fwww.webofscience.com%2Fwos%2Fwoscc%2Ffull-record%2FWOS:000079793700025","View Full Record in Web of Science")</f>
        <v>View Full Record in Web of Science</v>
      </c>
    </row>
    <row r="654" spans="1:72" x14ac:dyDescent="0.15">
      <c r="A654" t="s">
        <v>72</v>
      </c>
      <c r="B654" t="s">
        <v>8562</v>
      </c>
      <c r="C654" t="s">
        <v>74</v>
      </c>
      <c r="D654" t="s">
        <v>74</v>
      </c>
      <c r="E654" t="s">
        <v>74</v>
      </c>
      <c r="F654" t="s">
        <v>8562</v>
      </c>
      <c r="G654" t="s">
        <v>74</v>
      </c>
      <c r="H654" t="s">
        <v>74</v>
      </c>
      <c r="I654" t="s">
        <v>8563</v>
      </c>
      <c r="J654" t="s">
        <v>403</v>
      </c>
      <c r="K654" t="s">
        <v>74</v>
      </c>
      <c r="L654" t="s">
        <v>74</v>
      </c>
      <c r="M654" t="s">
        <v>77</v>
      </c>
      <c r="N654" t="s">
        <v>254</v>
      </c>
      <c r="O654" t="s">
        <v>74</v>
      </c>
      <c r="P654" t="s">
        <v>74</v>
      </c>
      <c r="Q654" t="s">
        <v>74</v>
      </c>
      <c r="R654" t="s">
        <v>74</v>
      </c>
      <c r="S654" t="s">
        <v>74</v>
      </c>
      <c r="T654" t="s">
        <v>74</v>
      </c>
      <c r="U654" t="s">
        <v>8564</v>
      </c>
      <c r="V654" t="s">
        <v>8565</v>
      </c>
      <c r="W654" t="s">
        <v>4312</v>
      </c>
      <c r="X654" t="s">
        <v>4313</v>
      </c>
      <c r="Y654" t="s">
        <v>4314</v>
      </c>
      <c r="Z654" t="s">
        <v>8566</v>
      </c>
      <c r="AA654" t="s">
        <v>74</v>
      </c>
      <c r="AB654" t="s">
        <v>74</v>
      </c>
      <c r="AC654" t="s">
        <v>74</v>
      </c>
      <c r="AD654" t="s">
        <v>74</v>
      </c>
      <c r="AE654" t="s">
        <v>74</v>
      </c>
      <c r="AF654" t="s">
        <v>74</v>
      </c>
      <c r="AG654">
        <v>112</v>
      </c>
      <c r="AH654">
        <v>135</v>
      </c>
      <c r="AI654">
        <v>150</v>
      </c>
      <c r="AJ654">
        <v>2</v>
      </c>
      <c r="AK654">
        <v>25</v>
      </c>
      <c r="AL654" t="s">
        <v>230</v>
      </c>
      <c r="AM654" t="s">
        <v>231</v>
      </c>
      <c r="AN654" t="s">
        <v>232</v>
      </c>
      <c r="AO654" t="s">
        <v>410</v>
      </c>
      <c r="AP654" t="s">
        <v>411</v>
      </c>
      <c r="AQ654" t="s">
        <v>74</v>
      </c>
      <c r="AR654" t="s">
        <v>412</v>
      </c>
      <c r="AS654" t="s">
        <v>413</v>
      </c>
      <c r="AT654" t="s">
        <v>8524</v>
      </c>
      <c r="AU654">
        <v>1999</v>
      </c>
      <c r="AV654">
        <v>104</v>
      </c>
      <c r="AW654" t="s">
        <v>8567</v>
      </c>
      <c r="AX654" t="s">
        <v>74</v>
      </c>
      <c r="AY654" t="s">
        <v>74</v>
      </c>
      <c r="AZ654" t="s">
        <v>74</v>
      </c>
      <c r="BA654" t="s">
        <v>74</v>
      </c>
      <c r="BB654">
        <v>7785</v>
      </c>
      <c r="BC654">
        <v>7806</v>
      </c>
      <c r="BD654" t="s">
        <v>74</v>
      </c>
      <c r="BE654" t="s">
        <v>8568</v>
      </c>
      <c r="BF654" t="str">
        <f>HYPERLINK("http://dx.doi.org/10.1029/1999JC900011","http://dx.doi.org/10.1029/1999JC900011")</f>
        <v>http://dx.doi.org/10.1029/1999JC900011</v>
      </c>
      <c r="BG654" t="s">
        <v>74</v>
      </c>
      <c r="BH654" t="s">
        <v>74</v>
      </c>
      <c r="BI654">
        <v>22</v>
      </c>
      <c r="BJ654" t="s">
        <v>416</v>
      </c>
      <c r="BK654" t="s">
        <v>96</v>
      </c>
      <c r="BL654" t="s">
        <v>416</v>
      </c>
      <c r="BM654" t="s">
        <v>8569</v>
      </c>
      <c r="BN654" t="s">
        <v>74</v>
      </c>
      <c r="BO654" t="s">
        <v>250</v>
      </c>
      <c r="BP654" t="s">
        <v>74</v>
      </c>
      <c r="BQ654" t="s">
        <v>74</v>
      </c>
      <c r="BR654" t="s">
        <v>99</v>
      </c>
      <c r="BS654" t="s">
        <v>8570</v>
      </c>
      <c r="BT654" t="str">
        <f>HYPERLINK("https%3A%2F%2Fwww.webofscience.com%2Fwos%2Fwoscc%2Ffull-record%2FWOS:000079784700013","View Full Record in Web of Science")</f>
        <v>View Full Record in Web of Science</v>
      </c>
    </row>
    <row r="655" spans="1:72" x14ac:dyDescent="0.15">
      <c r="A655" t="s">
        <v>72</v>
      </c>
      <c r="B655" t="s">
        <v>8571</v>
      </c>
      <c r="C655" t="s">
        <v>74</v>
      </c>
      <c r="D655" t="s">
        <v>74</v>
      </c>
      <c r="E655" t="s">
        <v>74</v>
      </c>
      <c r="F655" t="s">
        <v>8571</v>
      </c>
      <c r="G655" t="s">
        <v>74</v>
      </c>
      <c r="H655" t="s">
        <v>74</v>
      </c>
      <c r="I655" t="s">
        <v>8572</v>
      </c>
      <c r="J655" t="s">
        <v>403</v>
      </c>
      <c r="K655" t="s">
        <v>74</v>
      </c>
      <c r="L655" t="s">
        <v>74</v>
      </c>
      <c r="M655" t="s">
        <v>77</v>
      </c>
      <c r="N655" t="s">
        <v>78</v>
      </c>
      <c r="O655" t="s">
        <v>74</v>
      </c>
      <c r="P655" t="s">
        <v>74</v>
      </c>
      <c r="Q655" t="s">
        <v>74</v>
      </c>
      <c r="R655" t="s">
        <v>74</v>
      </c>
      <c r="S655" t="s">
        <v>74</v>
      </c>
      <c r="T655" t="s">
        <v>74</v>
      </c>
      <c r="U655" t="s">
        <v>8573</v>
      </c>
      <c r="V655" t="s">
        <v>8574</v>
      </c>
      <c r="W655" t="s">
        <v>8575</v>
      </c>
      <c r="X655" t="s">
        <v>6349</v>
      </c>
      <c r="Y655" t="s">
        <v>8576</v>
      </c>
      <c r="Z655" t="s">
        <v>8577</v>
      </c>
      <c r="AA655" t="s">
        <v>74</v>
      </c>
      <c r="AB655" t="s">
        <v>74</v>
      </c>
      <c r="AC655" t="s">
        <v>74</v>
      </c>
      <c r="AD655" t="s">
        <v>74</v>
      </c>
      <c r="AE655" t="s">
        <v>74</v>
      </c>
      <c r="AF655" t="s">
        <v>74</v>
      </c>
      <c r="AG655">
        <v>14</v>
      </c>
      <c r="AH655">
        <v>50</v>
      </c>
      <c r="AI655">
        <v>58</v>
      </c>
      <c r="AJ655">
        <v>0</v>
      </c>
      <c r="AK655">
        <v>3</v>
      </c>
      <c r="AL655" t="s">
        <v>230</v>
      </c>
      <c r="AM655" t="s">
        <v>231</v>
      </c>
      <c r="AN655" t="s">
        <v>232</v>
      </c>
      <c r="AO655" t="s">
        <v>410</v>
      </c>
      <c r="AP655" t="s">
        <v>411</v>
      </c>
      <c r="AQ655" t="s">
        <v>74</v>
      </c>
      <c r="AR655" t="s">
        <v>412</v>
      </c>
      <c r="AS655" t="s">
        <v>413</v>
      </c>
      <c r="AT655" t="s">
        <v>8524</v>
      </c>
      <c r="AU655">
        <v>1999</v>
      </c>
      <c r="AV655">
        <v>104</v>
      </c>
      <c r="AW655" t="s">
        <v>8567</v>
      </c>
      <c r="AX655" t="s">
        <v>74</v>
      </c>
      <c r="AY655" t="s">
        <v>74</v>
      </c>
      <c r="AZ655" t="s">
        <v>74</v>
      </c>
      <c r="BA655" t="s">
        <v>74</v>
      </c>
      <c r="BB655">
        <v>7837</v>
      </c>
      <c r="BC655">
        <v>7840</v>
      </c>
      <c r="BD655" t="s">
        <v>74</v>
      </c>
      <c r="BE655" t="s">
        <v>8578</v>
      </c>
      <c r="BF655" t="str">
        <f>HYPERLINK("http://dx.doi.org/10.1029/1999JC900002","http://dx.doi.org/10.1029/1999JC900002")</f>
        <v>http://dx.doi.org/10.1029/1999JC900002</v>
      </c>
      <c r="BG655" t="s">
        <v>74</v>
      </c>
      <c r="BH655" t="s">
        <v>74</v>
      </c>
      <c r="BI655">
        <v>4</v>
      </c>
      <c r="BJ655" t="s">
        <v>416</v>
      </c>
      <c r="BK655" t="s">
        <v>96</v>
      </c>
      <c r="BL655" t="s">
        <v>416</v>
      </c>
      <c r="BM655" t="s">
        <v>8569</v>
      </c>
      <c r="BN655" t="s">
        <v>74</v>
      </c>
      <c r="BO655" t="s">
        <v>74</v>
      </c>
      <c r="BP655" t="s">
        <v>74</v>
      </c>
      <c r="BQ655" t="s">
        <v>74</v>
      </c>
      <c r="BR655" t="s">
        <v>99</v>
      </c>
      <c r="BS655" t="s">
        <v>8579</v>
      </c>
      <c r="BT655" t="str">
        <f>HYPERLINK("https%3A%2F%2Fwww.webofscience.com%2Fwos%2Fwoscc%2Ffull-record%2FWOS:000079784700016","View Full Record in Web of Science")</f>
        <v>View Full Record in Web of Science</v>
      </c>
    </row>
    <row r="656" spans="1:72" x14ac:dyDescent="0.15">
      <c r="A656" t="s">
        <v>72</v>
      </c>
      <c r="B656" t="s">
        <v>8580</v>
      </c>
      <c r="C656" t="s">
        <v>74</v>
      </c>
      <c r="D656" t="s">
        <v>74</v>
      </c>
      <c r="E656" t="s">
        <v>74</v>
      </c>
      <c r="F656" t="s">
        <v>8580</v>
      </c>
      <c r="G656" t="s">
        <v>74</v>
      </c>
      <c r="H656" t="s">
        <v>74</v>
      </c>
      <c r="I656" t="s">
        <v>8581</v>
      </c>
      <c r="J656" t="s">
        <v>8582</v>
      </c>
      <c r="K656" t="s">
        <v>74</v>
      </c>
      <c r="L656" t="s">
        <v>74</v>
      </c>
      <c r="M656" t="s">
        <v>77</v>
      </c>
      <c r="N656" t="s">
        <v>78</v>
      </c>
      <c r="O656" t="s">
        <v>74</v>
      </c>
      <c r="P656" t="s">
        <v>74</v>
      </c>
      <c r="Q656" t="s">
        <v>74</v>
      </c>
      <c r="R656" t="s">
        <v>74</v>
      </c>
      <c r="S656" t="s">
        <v>74</v>
      </c>
      <c r="T656" t="s">
        <v>8583</v>
      </c>
      <c r="U656" t="s">
        <v>8584</v>
      </c>
      <c r="V656" t="s">
        <v>8585</v>
      </c>
      <c r="W656" t="s">
        <v>8586</v>
      </c>
      <c r="X656" t="s">
        <v>8587</v>
      </c>
      <c r="Y656" t="s">
        <v>8588</v>
      </c>
      <c r="Z656" t="s">
        <v>8589</v>
      </c>
      <c r="AA656" t="s">
        <v>8590</v>
      </c>
      <c r="AB656" t="s">
        <v>8591</v>
      </c>
      <c r="AC656" t="s">
        <v>74</v>
      </c>
      <c r="AD656" t="s">
        <v>74</v>
      </c>
      <c r="AE656" t="s">
        <v>74</v>
      </c>
      <c r="AF656" t="s">
        <v>74</v>
      </c>
      <c r="AG656">
        <v>44</v>
      </c>
      <c r="AH656">
        <v>30</v>
      </c>
      <c r="AI656">
        <v>33</v>
      </c>
      <c r="AJ656">
        <v>0</v>
      </c>
      <c r="AK656">
        <v>10</v>
      </c>
      <c r="AL656" t="s">
        <v>210</v>
      </c>
      <c r="AM656" t="s">
        <v>211</v>
      </c>
      <c r="AN656" t="s">
        <v>212</v>
      </c>
      <c r="AO656" t="s">
        <v>8592</v>
      </c>
      <c r="AP656" t="s">
        <v>74</v>
      </c>
      <c r="AQ656" t="s">
        <v>74</v>
      </c>
      <c r="AR656" t="s">
        <v>8593</v>
      </c>
      <c r="AS656" t="s">
        <v>8594</v>
      </c>
      <c r="AT656" t="s">
        <v>8595</v>
      </c>
      <c r="AU656">
        <v>1999</v>
      </c>
      <c r="AV656">
        <v>1431</v>
      </c>
      <c r="AW656">
        <v>1</v>
      </c>
      <c r="AX656" t="s">
        <v>74</v>
      </c>
      <c r="AY656" t="s">
        <v>74</v>
      </c>
      <c r="AZ656" t="s">
        <v>74</v>
      </c>
      <c r="BA656" t="s">
        <v>74</v>
      </c>
      <c r="BB656">
        <v>64</v>
      </c>
      <c r="BC656">
        <v>73</v>
      </c>
      <c r="BD656" t="s">
        <v>74</v>
      </c>
      <c r="BE656" t="s">
        <v>8596</v>
      </c>
      <c r="BF656" t="str">
        <f>HYPERLINK("http://dx.doi.org/10.1016/S0167-4838(99)00039-4","http://dx.doi.org/10.1016/S0167-4838(99)00039-4")</f>
        <v>http://dx.doi.org/10.1016/S0167-4838(99)00039-4</v>
      </c>
      <c r="BG656" t="s">
        <v>74</v>
      </c>
      <c r="BH656" t="s">
        <v>74</v>
      </c>
      <c r="BI656">
        <v>10</v>
      </c>
      <c r="BJ656" t="s">
        <v>7157</v>
      </c>
      <c r="BK656" t="s">
        <v>96</v>
      </c>
      <c r="BL656" t="s">
        <v>7157</v>
      </c>
      <c r="BM656" t="s">
        <v>8597</v>
      </c>
      <c r="BN656">
        <v>10209280</v>
      </c>
      <c r="BO656" t="s">
        <v>74</v>
      </c>
      <c r="BP656" t="s">
        <v>74</v>
      </c>
      <c r="BQ656" t="s">
        <v>74</v>
      </c>
      <c r="BR656" t="s">
        <v>99</v>
      </c>
      <c r="BS656" t="s">
        <v>8598</v>
      </c>
      <c r="BT656" t="str">
        <f>HYPERLINK("https%3A%2F%2Fwww.webofscience.com%2Fwos%2Fwoscc%2Ffull-record%2FWOS:000079954400008","View Full Record in Web of Science")</f>
        <v>View Full Record in Web of Science</v>
      </c>
    </row>
    <row r="657" spans="1:72" x14ac:dyDescent="0.15">
      <c r="A657" t="s">
        <v>72</v>
      </c>
      <c r="B657" t="s">
        <v>8599</v>
      </c>
      <c r="C657" t="s">
        <v>74</v>
      </c>
      <c r="D657" t="s">
        <v>74</v>
      </c>
      <c r="E657" t="s">
        <v>74</v>
      </c>
      <c r="F657" t="s">
        <v>8599</v>
      </c>
      <c r="G657" t="s">
        <v>74</v>
      </c>
      <c r="H657" t="s">
        <v>74</v>
      </c>
      <c r="I657" t="s">
        <v>8600</v>
      </c>
      <c r="J657" t="s">
        <v>433</v>
      </c>
      <c r="K657" t="s">
        <v>74</v>
      </c>
      <c r="L657" t="s">
        <v>74</v>
      </c>
      <c r="M657" t="s">
        <v>77</v>
      </c>
      <c r="N657" t="s">
        <v>78</v>
      </c>
      <c r="O657" t="s">
        <v>74</v>
      </c>
      <c r="P657" t="s">
        <v>74</v>
      </c>
      <c r="Q657" t="s">
        <v>74</v>
      </c>
      <c r="R657" t="s">
        <v>74</v>
      </c>
      <c r="S657" t="s">
        <v>74</v>
      </c>
      <c r="T657" t="s">
        <v>74</v>
      </c>
      <c r="U657" t="s">
        <v>8601</v>
      </c>
      <c r="V657" t="s">
        <v>8602</v>
      </c>
      <c r="W657" t="s">
        <v>8603</v>
      </c>
      <c r="X657" t="s">
        <v>8604</v>
      </c>
      <c r="Y657" t="s">
        <v>8605</v>
      </c>
      <c r="Z657" t="s">
        <v>74</v>
      </c>
      <c r="AA657" t="s">
        <v>74</v>
      </c>
      <c r="AB657" t="s">
        <v>74</v>
      </c>
      <c r="AC657" t="s">
        <v>74</v>
      </c>
      <c r="AD657" t="s">
        <v>74</v>
      </c>
      <c r="AE657" t="s">
        <v>74</v>
      </c>
      <c r="AF657" t="s">
        <v>74</v>
      </c>
      <c r="AG657">
        <v>24</v>
      </c>
      <c r="AH657">
        <v>47</v>
      </c>
      <c r="AI657">
        <v>49</v>
      </c>
      <c r="AJ657">
        <v>1</v>
      </c>
      <c r="AK657">
        <v>24</v>
      </c>
      <c r="AL657" t="s">
        <v>210</v>
      </c>
      <c r="AM657" t="s">
        <v>211</v>
      </c>
      <c r="AN657" t="s">
        <v>212</v>
      </c>
      <c r="AO657" t="s">
        <v>439</v>
      </c>
      <c r="AP657" t="s">
        <v>74</v>
      </c>
      <c r="AQ657" t="s">
        <v>74</v>
      </c>
      <c r="AR657" t="s">
        <v>440</v>
      </c>
      <c r="AS657" t="s">
        <v>441</v>
      </c>
      <c r="AT657" t="s">
        <v>8606</v>
      </c>
      <c r="AU657">
        <v>1999</v>
      </c>
      <c r="AV657">
        <v>303</v>
      </c>
      <c r="AW657" t="s">
        <v>141</v>
      </c>
      <c r="AX657" t="s">
        <v>74</v>
      </c>
      <c r="AY657" t="s">
        <v>74</v>
      </c>
      <c r="AZ657" t="s">
        <v>74</v>
      </c>
      <c r="BA657" t="s">
        <v>74</v>
      </c>
      <c r="BB657">
        <v>268</v>
      </c>
      <c r="BC657">
        <v>274</v>
      </c>
      <c r="BD657" t="s">
        <v>74</v>
      </c>
      <c r="BE657" t="s">
        <v>8607</v>
      </c>
      <c r="BF657" t="str">
        <f>HYPERLINK("http://dx.doi.org/10.1016/S0009-2614(99)00243-2","http://dx.doi.org/10.1016/S0009-2614(99)00243-2")</f>
        <v>http://dx.doi.org/10.1016/S0009-2614(99)00243-2</v>
      </c>
      <c r="BG657" t="s">
        <v>74</v>
      </c>
      <c r="BH657" t="s">
        <v>74</v>
      </c>
      <c r="BI657">
        <v>7</v>
      </c>
      <c r="BJ657" t="s">
        <v>372</v>
      </c>
      <c r="BK657" t="s">
        <v>96</v>
      </c>
      <c r="BL657" t="s">
        <v>373</v>
      </c>
      <c r="BM657" t="s">
        <v>8608</v>
      </c>
      <c r="BN657" t="s">
        <v>74</v>
      </c>
      <c r="BO657" t="s">
        <v>1214</v>
      </c>
      <c r="BP657" t="s">
        <v>74</v>
      </c>
      <c r="BQ657" t="s">
        <v>74</v>
      </c>
      <c r="BR657" t="s">
        <v>99</v>
      </c>
      <c r="BS657" t="s">
        <v>8609</v>
      </c>
      <c r="BT657" t="str">
        <f>HYPERLINK("https%3A%2F%2Fwww.webofscience.com%2Fwos%2Fwoscc%2Ffull-record%2FWOS:000079900700003","View Full Record in Web of Science")</f>
        <v>View Full Record in Web of Science</v>
      </c>
    </row>
    <row r="658" spans="1:72" x14ac:dyDescent="0.15">
      <c r="A658" t="s">
        <v>72</v>
      </c>
      <c r="B658" t="s">
        <v>8610</v>
      </c>
      <c r="C658" t="s">
        <v>74</v>
      </c>
      <c r="D658" t="s">
        <v>74</v>
      </c>
      <c r="E658" t="s">
        <v>74</v>
      </c>
      <c r="F658" t="s">
        <v>8610</v>
      </c>
      <c r="G658" t="s">
        <v>74</v>
      </c>
      <c r="H658" t="s">
        <v>74</v>
      </c>
      <c r="I658" t="s">
        <v>8611</v>
      </c>
      <c r="J658" t="s">
        <v>8612</v>
      </c>
      <c r="K658" t="s">
        <v>74</v>
      </c>
      <c r="L658" t="s">
        <v>74</v>
      </c>
      <c r="M658" t="s">
        <v>77</v>
      </c>
      <c r="N658" t="s">
        <v>78</v>
      </c>
      <c r="O658" t="s">
        <v>74</v>
      </c>
      <c r="P658" t="s">
        <v>74</v>
      </c>
      <c r="Q658" t="s">
        <v>74</v>
      </c>
      <c r="R658" t="s">
        <v>74</v>
      </c>
      <c r="S658" t="s">
        <v>74</v>
      </c>
      <c r="T658" t="s">
        <v>74</v>
      </c>
      <c r="U658" t="s">
        <v>8613</v>
      </c>
      <c r="V658" t="s">
        <v>8614</v>
      </c>
      <c r="W658" t="s">
        <v>6714</v>
      </c>
      <c r="X658" t="s">
        <v>4491</v>
      </c>
      <c r="Y658" t="s">
        <v>6715</v>
      </c>
      <c r="Z658" t="s">
        <v>8615</v>
      </c>
      <c r="AA658" t="s">
        <v>74</v>
      </c>
      <c r="AB658" t="s">
        <v>74</v>
      </c>
      <c r="AC658" t="s">
        <v>74</v>
      </c>
      <c r="AD658" t="s">
        <v>74</v>
      </c>
      <c r="AE658" t="s">
        <v>74</v>
      </c>
      <c r="AF658" t="s">
        <v>74</v>
      </c>
      <c r="AG658">
        <v>48</v>
      </c>
      <c r="AH658">
        <v>143</v>
      </c>
      <c r="AI658">
        <v>157</v>
      </c>
      <c r="AJ658">
        <v>1</v>
      </c>
      <c r="AK658">
        <v>47</v>
      </c>
      <c r="AL658" t="s">
        <v>365</v>
      </c>
      <c r="AM658" t="s">
        <v>231</v>
      </c>
      <c r="AN658" t="s">
        <v>366</v>
      </c>
      <c r="AO658" t="s">
        <v>8616</v>
      </c>
      <c r="AP658" t="s">
        <v>74</v>
      </c>
      <c r="AQ658" t="s">
        <v>74</v>
      </c>
      <c r="AR658" t="s">
        <v>8617</v>
      </c>
      <c r="AS658" t="s">
        <v>8618</v>
      </c>
      <c r="AT658" t="s">
        <v>8619</v>
      </c>
      <c r="AU658">
        <v>1999</v>
      </c>
      <c r="AV658">
        <v>38</v>
      </c>
      <c r="AW658">
        <v>14</v>
      </c>
      <c r="AX658" t="s">
        <v>74</v>
      </c>
      <c r="AY658" t="s">
        <v>74</v>
      </c>
      <c r="AZ658" t="s">
        <v>74</v>
      </c>
      <c r="BA658" t="s">
        <v>74</v>
      </c>
      <c r="BB658">
        <v>4613</v>
      </c>
      <c r="BC658">
        <v>4619</v>
      </c>
      <c r="BD658" t="s">
        <v>74</v>
      </c>
      <c r="BE658" t="s">
        <v>8620</v>
      </c>
      <c r="BF658" t="str">
        <f>HYPERLINK("http://dx.doi.org/10.1021/bi982650+","http://dx.doi.org/10.1021/bi982650+")</f>
        <v>http://dx.doi.org/10.1021/bi982650+</v>
      </c>
      <c r="BG658" t="s">
        <v>74</v>
      </c>
      <c r="BH658" t="s">
        <v>74</v>
      </c>
      <c r="BI658">
        <v>7</v>
      </c>
      <c r="BJ658" t="s">
        <v>3233</v>
      </c>
      <c r="BK658" t="s">
        <v>96</v>
      </c>
      <c r="BL658" t="s">
        <v>3233</v>
      </c>
      <c r="BM658" t="s">
        <v>8621</v>
      </c>
      <c r="BN658">
        <v>10194383</v>
      </c>
      <c r="BO658" t="s">
        <v>74</v>
      </c>
      <c r="BP658" t="s">
        <v>74</v>
      </c>
      <c r="BQ658" t="s">
        <v>74</v>
      </c>
      <c r="BR658" t="s">
        <v>99</v>
      </c>
      <c r="BS658" t="s">
        <v>8622</v>
      </c>
      <c r="BT658" t="str">
        <f>HYPERLINK("https%3A%2F%2Fwww.webofscience.com%2Fwos%2Fwoscc%2Ffull-record%2FWOS:000079834100043","View Full Record in Web of Science")</f>
        <v>View Full Record in Web of Science</v>
      </c>
    </row>
    <row r="659" spans="1:72" x14ac:dyDescent="0.15">
      <c r="A659" t="s">
        <v>72</v>
      </c>
      <c r="B659" t="s">
        <v>8623</v>
      </c>
      <c r="C659" t="s">
        <v>74</v>
      </c>
      <c r="D659" t="s">
        <v>74</v>
      </c>
      <c r="E659" t="s">
        <v>74</v>
      </c>
      <c r="F659" t="s">
        <v>8623</v>
      </c>
      <c r="G659" t="s">
        <v>74</v>
      </c>
      <c r="H659" t="s">
        <v>74</v>
      </c>
      <c r="I659" t="s">
        <v>8624</v>
      </c>
      <c r="J659" t="s">
        <v>8625</v>
      </c>
      <c r="K659" t="s">
        <v>74</v>
      </c>
      <c r="L659" t="s">
        <v>74</v>
      </c>
      <c r="M659" t="s">
        <v>77</v>
      </c>
      <c r="N659" t="s">
        <v>78</v>
      </c>
      <c r="O659" t="s">
        <v>74</v>
      </c>
      <c r="P659" t="s">
        <v>74</v>
      </c>
      <c r="Q659" t="s">
        <v>74</v>
      </c>
      <c r="R659" t="s">
        <v>74</v>
      </c>
      <c r="S659" t="s">
        <v>74</v>
      </c>
      <c r="T659" t="s">
        <v>8626</v>
      </c>
      <c r="U659" t="s">
        <v>74</v>
      </c>
      <c r="V659" t="s">
        <v>8627</v>
      </c>
      <c r="W659" t="s">
        <v>8628</v>
      </c>
      <c r="X659" t="s">
        <v>1222</v>
      </c>
      <c r="Y659" t="s">
        <v>8629</v>
      </c>
      <c r="Z659" t="s">
        <v>8630</v>
      </c>
      <c r="AA659" t="s">
        <v>74</v>
      </c>
      <c r="AB659" t="s">
        <v>74</v>
      </c>
      <c r="AC659" t="s">
        <v>74</v>
      </c>
      <c r="AD659" t="s">
        <v>74</v>
      </c>
      <c r="AE659" t="s">
        <v>74</v>
      </c>
      <c r="AF659" t="s">
        <v>74</v>
      </c>
      <c r="AG659">
        <v>39</v>
      </c>
      <c r="AH659">
        <v>4</v>
      </c>
      <c r="AI659">
        <v>6</v>
      </c>
      <c r="AJ659">
        <v>0</v>
      </c>
      <c r="AK659">
        <v>0</v>
      </c>
      <c r="AL659" t="s">
        <v>8631</v>
      </c>
      <c r="AM659" t="s">
        <v>8632</v>
      </c>
      <c r="AN659" t="s">
        <v>8633</v>
      </c>
      <c r="AO659" t="s">
        <v>8634</v>
      </c>
      <c r="AP659" t="s">
        <v>74</v>
      </c>
      <c r="AQ659" t="s">
        <v>74</v>
      </c>
      <c r="AR659" t="s">
        <v>8625</v>
      </c>
      <c r="AS659" t="s">
        <v>8635</v>
      </c>
      <c r="AT659" t="s">
        <v>8636</v>
      </c>
      <c r="AU659">
        <v>1999</v>
      </c>
      <c r="AV659">
        <v>40</v>
      </c>
      <c r="AW659">
        <v>2</v>
      </c>
      <c r="AX659" t="s">
        <v>74</v>
      </c>
      <c r="AY659" t="s">
        <v>74</v>
      </c>
      <c r="AZ659" t="s">
        <v>74</v>
      </c>
      <c r="BA659" t="s">
        <v>74</v>
      </c>
      <c r="BB659">
        <v>179</v>
      </c>
      <c r="BC659">
        <v>190</v>
      </c>
      <c r="BD659" t="s">
        <v>74</v>
      </c>
      <c r="BE659" t="s">
        <v>74</v>
      </c>
      <c r="BF659" t="s">
        <v>74</v>
      </c>
      <c r="BG659" t="s">
        <v>74</v>
      </c>
      <c r="BH659" t="s">
        <v>74</v>
      </c>
      <c r="BI659">
        <v>12</v>
      </c>
      <c r="BJ659" t="s">
        <v>8637</v>
      </c>
      <c r="BK659" t="s">
        <v>96</v>
      </c>
      <c r="BL659" t="s">
        <v>8637</v>
      </c>
      <c r="BM659" t="s">
        <v>8638</v>
      </c>
      <c r="BN659" t="s">
        <v>74</v>
      </c>
      <c r="BO659" t="s">
        <v>74</v>
      </c>
      <c r="BP659" t="s">
        <v>74</v>
      </c>
      <c r="BQ659" t="s">
        <v>74</v>
      </c>
      <c r="BR659" t="s">
        <v>99</v>
      </c>
      <c r="BS659" t="s">
        <v>8639</v>
      </c>
      <c r="BT659" t="str">
        <f>HYPERLINK("https%3A%2F%2Fwww.webofscience.com%2Fwos%2Fwoscc%2Ffull-record%2FWOS:000085897400011","View Full Record in Web of Science")</f>
        <v>View Full Record in Web of Science</v>
      </c>
    </row>
    <row r="660" spans="1:72" x14ac:dyDescent="0.15">
      <c r="A660" t="s">
        <v>72</v>
      </c>
      <c r="B660" t="s">
        <v>8640</v>
      </c>
      <c r="C660" t="s">
        <v>74</v>
      </c>
      <c r="D660" t="s">
        <v>74</v>
      </c>
      <c r="E660" t="s">
        <v>74</v>
      </c>
      <c r="F660" t="s">
        <v>8640</v>
      </c>
      <c r="G660" t="s">
        <v>74</v>
      </c>
      <c r="H660" t="s">
        <v>74</v>
      </c>
      <c r="I660" t="s">
        <v>8641</v>
      </c>
      <c r="J660" t="s">
        <v>8642</v>
      </c>
      <c r="K660" t="s">
        <v>74</v>
      </c>
      <c r="L660" t="s">
        <v>74</v>
      </c>
      <c r="M660" t="s">
        <v>77</v>
      </c>
      <c r="N660" t="s">
        <v>78</v>
      </c>
      <c r="O660" t="s">
        <v>74</v>
      </c>
      <c r="P660" t="s">
        <v>74</v>
      </c>
      <c r="Q660" t="s">
        <v>74</v>
      </c>
      <c r="R660" t="s">
        <v>74</v>
      </c>
      <c r="S660" t="s">
        <v>74</v>
      </c>
      <c r="T660" t="s">
        <v>74</v>
      </c>
      <c r="U660" t="s">
        <v>8643</v>
      </c>
      <c r="V660" t="s">
        <v>8644</v>
      </c>
      <c r="W660" t="s">
        <v>8645</v>
      </c>
      <c r="X660" t="s">
        <v>2279</v>
      </c>
      <c r="Y660" t="s">
        <v>8646</v>
      </c>
      <c r="Z660" t="s">
        <v>74</v>
      </c>
      <c r="AA660" t="s">
        <v>74</v>
      </c>
      <c r="AB660" t="s">
        <v>74</v>
      </c>
      <c r="AC660" t="s">
        <v>74</v>
      </c>
      <c r="AD660" t="s">
        <v>74</v>
      </c>
      <c r="AE660" t="s">
        <v>74</v>
      </c>
      <c r="AF660" t="s">
        <v>74</v>
      </c>
      <c r="AG660">
        <v>27</v>
      </c>
      <c r="AH660">
        <v>41</v>
      </c>
      <c r="AI660">
        <v>43</v>
      </c>
      <c r="AJ660">
        <v>0</v>
      </c>
      <c r="AK660">
        <v>11</v>
      </c>
      <c r="AL660" t="s">
        <v>275</v>
      </c>
      <c r="AM660" t="s">
        <v>276</v>
      </c>
      <c r="AN660" t="s">
        <v>277</v>
      </c>
      <c r="AO660" t="s">
        <v>8647</v>
      </c>
      <c r="AP660" t="s">
        <v>74</v>
      </c>
      <c r="AQ660" t="s">
        <v>74</v>
      </c>
      <c r="AR660" t="s">
        <v>8648</v>
      </c>
      <c r="AS660" t="s">
        <v>8649</v>
      </c>
      <c r="AT660" t="s">
        <v>8650</v>
      </c>
      <c r="AU660">
        <v>1999</v>
      </c>
      <c r="AV660">
        <v>44</v>
      </c>
      <c r="AW660" t="s">
        <v>8651</v>
      </c>
      <c r="AX660" t="s">
        <v>74</v>
      </c>
      <c r="AY660" t="s">
        <v>74</v>
      </c>
      <c r="AZ660" t="s">
        <v>4033</v>
      </c>
      <c r="BA660" t="s">
        <v>74</v>
      </c>
      <c r="BB660">
        <v>693</v>
      </c>
      <c r="BC660">
        <v>699</v>
      </c>
      <c r="BD660" t="s">
        <v>74</v>
      </c>
      <c r="BE660" t="s">
        <v>8652</v>
      </c>
      <c r="BF660" t="str">
        <f>HYPERLINK("http://dx.doi.org/10.1016/S0094-5765(99)00068-5","http://dx.doi.org/10.1016/S0094-5765(99)00068-5")</f>
        <v>http://dx.doi.org/10.1016/S0094-5765(99)00068-5</v>
      </c>
      <c r="BG660" t="s">
        <v>74</v>
      </c>
      <c r="BH660" t="s">
        <v>74</v>
      </c>
      <c r="BI660">
        <v>7</v>
      </c>
      <c r="BJ660" t="s">
        <v>8653</v>
      </c>
      <c r="BK660" t="s">
        <v>96</v>
      </c>
      <c r="BL660" t="s">
        <v>7975</v>
      </c>
      <c r="BM660" t="s">
        <v>8654</v>
      </c>
      <c r="BN660">
        <v>11542525</v>
      </c>
      <c r="BO660" t="s">
        <v>74</v>
      </c>
      <c r="BP660" t="s">
        <v>74</v>
      </c>
      <c r="BQ660" t="s">
        <v>74</v>
      </c>
      <c r="BR660" t="s">
        <v>99</v>
      </c>
      <c r="BS660" t="s">
        <v>8655</v>
      </c>
      <c r="BT660" t="str">
        <f>HYPERLINK("https%3A%2F%2Fwww.webofscience.com%2Fwos%2Fwoscc%2Ffull-record%2FWOS:000082555400040","View Full Record in Web of Science")</f>
        <v>View Full Record in Web of Science</v>
      </c>
    </row>
    <row r="661" spans="1:72" x14ac:dyDescent="0.15">
      <c r="A661" t="s">
        <v>72</v>
      </c>
      <c r="B661" t="s">
        <v>5132</v>
      </c>
      <c r="C661" t="s">
        <v>74</v>
      </c>
      <c r="D661" t="s">
        <v>74</v>
      </c>
      <c r="E661" t="s">
        <v>74</v>
      </c>
      <c r="F661" t="s">
        <v>5132</v>
      </c>
      <c r="G661" t="s">
        <v>74</v>
      </c>
      <c r="H661" t="s">
        <v>74</v>
      </c>
      <c r="I661" t="s">
        <v>8656</v>
      </c>
      <c r="J661" t="s">
        <v>1835</v>
      </c>
      <c r="K661" t="s">
        <v>74</v>
      </c>
      <c r="L661" t="s">
        <v>74</v>
      </c>
      <c r="M661" t="s">
        <v>77</v>
      </c>
      <c r="N661" t="s">
        <v>78</v>
      </c>
      <c r="O661" t="s">
        <v>74</v>
      </c>
      <c r="P661" t="s">
        <v>74</v>
      </c>
      <c r="Q661" t="s">
        <v>74</v>
      </c>
      <c r="R661" t="s">
        <v>74</v>
      </c>
      <c r="S661" t="s">
        <v>74</v>
      </c>
      <c r="T661" t="s">
        <v>8657</v>
      </c>
      <c r="U661" t="s">
        <v>8658</v>
      </c>
      <c r="V661" t="s">
        <v>8659</v>
      </c>
      <c r="W661" t="s">
        <v>1839</v>
      </c>
      <c r="X661" t="s">
        <v>1840</v>
      </c>
      <c r="Y661" t="s">
        <v>5136</v>
      </c>
      <c r="Z661" t="s">
        <v>74</v>
      </c>
      <c r="AA661" t="s">
        <v>74</v>
      </c>
      <c r="AB661" t="s">
        <v>5137</v>
      </c>
      <c r="AC661" t="s">
        <v>74</v>
      </c>
      <c r="AD661" t="s">
        <v>74</v>
      </c>
      <c r="AE661" t="s">
        <v>74</v>
      </c>
      <c r="AF661" t="s">
        <v>74</v>
      </c>
      <c r="AG661">
        <v>14</v>
      </c>
      <c r="AH661">
        <v>4</v>
      </c>
      <c r="AI661">
        <v>4</v>
      </c>
      <c r="AJ661">
        <v>0</v>
      </c>
      <c r="AK661">
        <v>0</v>
      </c>
      <c r="AL661" t="s">
        <v>8660</v>
      </c>
      <c r="AM661" t="s">
        <v>5139</v>
      </c>
      <c r="AN661" t="s">
        <v>8661</v>
      </c>
      <c r="AO661" t="s">
        <v>1845</v>
      </c>
      <c r="AP661" t="s">
        <v>74</v>
      </c>
      <c r="AQ661" t="s">
        <v>74</v>
      </c>
      <c r="AR661" t="s">
        <v>1847</v>
      </c>
      <c r="AS661" t="s">
        <v>1848</v>
      </c>
      <c r="AT661" t="s">
        <v>8636</v>
      </c>
      <c r="AU661">
        <v>1999</v>
      </c>
      <c r="AV661">
        <v>44</v>
      </c>
      <c r="AW661">
        <v>2</v>
      </c>
      <c r="AX661" t="s">
        <v>74</v>
      </c>
      <c r="AY661" t="s">
        <v>74</v>
      </c>
      <c r="AZ661" t="s">
        <v>74</v>
      </c>
      <c r="BA661" t="s">
        <v>74</v>
      </c>
      <c r="BB661">
        <v>115</v>
      </c>
      <c r="BC661">
        <v>118</v>
      </c>
      <c r="BD661" t="s">
        <v>74</v>
      </c>
      <c r="BE661" t="s">
        <v>74</v>
      </c>
      <c r="BF661" t="s">
        <v>74</v>
      </c>
      <c r="BG661" t="s">
        <v>74</v>
      </c>
      <c r="BH661" t="s">
        <v>74</v>
      </c>
      <c r="BI661">
        <v>4</v>
      </c>
      <c r="BJ661" t="s">
        <v>1850</v>
      </c>
      <c r="BK661" t="s">
        <v>96</v>
      </c>
      <c r="BL661" t="s">
        <v>1850</v>
      </c>
      <c r="BM661" t="s">
        <v>8662</v>
      </c>
      <c r="BN661" t="s">
        <v>74</v>
      </c>
      <c r="BO661" t="s">
        <v>74</v>
      </c>
      <c r="BP661" t="s">
        <v>74</v>
      </c>
      <c r="BQ661" t="s">
        <v>74</v>
      </c>
      <c r="BR661" t="s">
        <v>99</v>
      </c>
      <c r="BS661" t="s">
        <v>8663</v>
      </c>
      <c r="BT661" t="str">
        <f>HYPERLINK("https%3A%2F%2Fwww.webofscience.com%2Fwos%2Fwoscc%2Ffull-record%2FWOS:000081226800005","View Full Record in Web of Science")</f>
        <v>View Full Record in Web of Science</v>
      </c>
    </row>
    <row r="662" spans="1:72" x14ac:dyDescent="0.15">
      <c r="A662" t="s">
        <v>72</v>
      </c>
      <c r="B662" t="s">
        <v>8664</v>
      </c>
      <c r="C662" t="s">
        <v>74</v>
      </c>
      <c r="D662" t="s">
        <v>74</v>
      </c>
      <c r="E662" t="s">
        <v>74</v>
      </c>
      <c r="F662" t="s">
        <v>8664</v>
      </c>
      <c r="G662" t="s">
        <v>74</v>
      </c>
      <c r="H662" t="s">
        <v>74</v>
      </c>
      <c r="I662" t="s">
        <v>8665</v>
      </c>
      <c r="J662" t="s">
        <v>1835</v>
      </c>
      <c r="K662" t="s">
        <v>74</v>
      </c>
      <c r="L662" t="s">
        <v>74</v>
      </c>
      <c r="M662" t="s">
        <v>77</v>
      </c>
      <c r="N662" t="s">
        <v>78</v>
      </c>
      <c r="O662" t="s">
        <v>74</v>
      </c>
      <c r="P662" t="s">
        <v>74</v>
      </c>
      <c r="Q662" t="s">
        <v>74</v>
      </c>
      <c r="R662" t="s">
        <v>74</v>
      </c>
      <c r="S662" t="s">
        <v>74</v>
      </c>
      <c r="T662" t="s">
        <v>8666</v>
      </c>
      <c r="U662" t="s">
        <v>8667</v>
      </c>
      <c r="V662" t="s">
        <v>8668</v>
      </c>
      <c r="W662" t="s">
        <v>8669</v>
      </c>
      <c r="X662" t="s">
        <v>8670</v>
      </c>
      <c r="Y662" t="s">
        <v>8671</v>
      </c>
      <c r="Z662" t="s">
        <v>74</v>
      </c>
      <c r="AA662" t="s">
        <v>74</v>
      </c>
      <c r="AB662" t="s">
        <v>74</v>
      </c>
      <c r="AC662" t="s">
        <v>74</v>
      </c>
      <c r="AD662" t="s">
        <v>74</v>
      </c>
      <c r="AE662" t="s">
        <v>74</v>
      </c>
      <c r="AF662" t="s">
        <v>74</v>
      </c>
      <c r="AG662">
        <v>28</v>
      </c>
      <c r="AH662">
        <v>8</v>
      </c>
      <c r="AI662">
        <v>13</v>
      </c>
      <c r="AJ662">
        <v>0</v>
      </c>
      <c r="AK662">
        <v>4</v>
      </c>
      <c r="AL662" t="s">
        <v>8660</v>
      </c>
      <c r="AM662" t="s">
        <v>5139</v>
      </c>
      <c r="AN662" t="s">
        <v>8661</v>
      </c>
      <c r="AO662" t="s">
        <v>1845</v>
      </c>
      <c r="AP662" t="s">
        <v>74</v>
      </c>
      <c r="AQ662" t="s">
        <v>74</v>
      </c>
      <c r="AR662" t="s">
        <v>1847</v>
      </c>
      <c r="AS662" t="s">
        <v>1848</v>
      </c>
      <c r="AT662" t="s">
        <v>8636</v>
      </c>
      <c r="AU662">
        <v>1999</v>
      </c>
      <c r="AV662">
        <v>44</v>
      </c>
      <c r="AW662">
        <v>2</v>
      </c>
      <c r="AX662" t="s">
        <v>74</v>
      </c>
      <c r="AY662" t="s">
        <v>74</v>
      </c>
      <c r="AZ662" t="s">
        <v>74</v>
      </c>
      <c r="BA662" t="s">
        <v>74</v>
      </c>
      <c r="BB662">
        <v>125</v>
      </c>
      <c r="BC662">
        <v>130</v>
      </c>
      <c r="BD662" t="s">
        <v>74</v>
      </c>
      <c r="BE662" t="s">
        <v>74</v>
      </c>
      <c r="BF662" t="s">
        <v>74</v>
      </c>
      <c r="BG662" t="s">
        <v>74</v>
      </c>
      <c r="BH662" t="s">
        <v>74</v>
      </c>
      <c r="BI662">
        <v>6</v>
      </c>
      <c r="BJ662" t="s">
        <v>1850</v>
      </c>
      <c r="BK662" t="s">
        <v>96</v>
      </c>
      <c r="BL662" t="s">
        <v>1850</v>
      </c>
      <c r="BM662" t="s">
        <v>8662</v>
      </c>
      <c r="BN662" t="s">
        <v>74</v>
      </c>
      <c r="BO662" t="s">
        <v>74</v>
      </c>
      <c r="BP662" t="s">
        <v>74</v>
      </c>
      <c r="BQ662" t="s">
        <v>74</v>
      </c>
      <c r="BR662" t="s">
        <v>99</v>
      </c>
      <c r="BS662" t="s">
        <v>8672</v>
      </c>
      <c r="BT662" t="str">
        <f>HYPERLINK("https%3A%2F%2Fwww.webofscience.com%2Fwos%2Fwoscc%2Ffull-record%2FWOS:000081226800007","View Full Record in Web of Science")</f>
        <v>View Full Record in Web of Science</v>
      </c>
    </row>
    <row r="663" spans="1:72" x14ac:dyDescent="0.15">
      <c r="A663" t="s">
        <v>72</v>
      </c>
      <c r="B663" t="s">
        <v>8673</v>
      </c>
      <c r="C663" t="s">
        <v>74</v>
      </c>
      <c r="D663" t="s">
        <v>74</v>
      </c>
      <c r="E663" t="s">
        <v>74</v>
      </c>
      <c r="F663" t="s">
        <v>8673</v>
      </c>
      <c r="G663" t="s">
        <v>74</v>
      </c>
      <c r="H663" t="s">
        <v>74</v>
      </c>
      <c r="I663" t="s">
        <v>8674</v>
      </c>
      <c r="J663" t="s">
        <v>544</v>
      </c>
      <c r="K663" t="s">
        <v>74</v>
      </c>
      <c r="L663" t="s">
        <v>74</v>
      </c>
      <c r="M663" t="s">
        <v>77</v>
      </c>
      <c r="N663" t="s">
        <v>78</v>
      </c>
      <c r="O663" t="s">
        <v>74</v>
      </c>
      <c r="P663" t="s">
        <v>74</v>
      </c>
      <c r="Q663" t="s">
        <v>74</v>
      </c>
      <c r="R663" t="s">
        <v>74</v>
      </c>
      <c r="S663" t="s">
        <v>74</v>
      </c>
      <c r="T663" t="s">
        <v>8675</v>
      </c>
      <c r="U663" t="s">
        <v>8676</v>
      </c>
      <c r="V663" t="s">
        <v>8677</v>
      </c>
      <c r="W663" t="s">
        <v>8678</v>
      </c>
      <c r="X663" t="s">
        <v>8679</v>
      </c>
      <c r="Y663" t="s">
        <v>8680</v>
      </c>
      <c r="Z663" t="s">
        <v>8681</v>
      </c>
      <c r="AA663" t="s">
        <v>8558</v>
      </c>
      <c r="AB663" t="s">
        <v>8682</v>
      </c>
      <c r="AC663" t="s">
        <v>74</v>
      </c>
      <c r="AD663" t="s">
        <v>74</v>
      </c>
      <c r="AE663" t="s">
        <v>74</v>
      </c>
      <c r="AF663" t="s">
        <v>74</v>
      </c>
      <c r="AG663">
        <v>40</v>
      </c>
      <c r="AH663">
        <v>33</v>
      </c>
      <c r="AI663">
        <v>34</v>
      </c>
      <c r="AJ663">
        <v>0</v>
      </c>
      <c r="AK663">
        <v>0</v>
      </c>
      <c r="AL663" t="s">
        <v>705</v>
      </c>
      <c r="AM663" t="s">
        <v>554</v>
      </c>
      <c r="AN663" t="s">
        <v>706</v>
      </c>
      <c r="AO663" t="s">
        <v>556</v>
      </c>
      <c r="AP663" t="s">
        <v>74</v>
      </c>
      <c r="AQ663" t="s">
        <v>74</v>
      </c>
      <c r="AR663" t="s">
        <v>557</v>
      </c>
      <c r="AS663" t="s">
        <v>558</v>
      </c>
      <c r="AT663" t="s">
        <v>8636</v>
      </c>
      <c r="AU663">
        <v>1999</v>
      </c>
      <c r="AV663">
        <v>17</v>
      </c>
      <c r="AW663">
        <v>4</v>
      </c>
      <c r="AX663" t="s">
        <v>74</v>
      </c>
      <c r="AY663" t="s">
        <v>74</v>
      </c>
      <c r="AZ663" t="s">
        <v>74</v>
      </c>
      <c r="BA663" t="s">
        <v>74</v>
      </c>
      <c r="BB663">
        <v>443</v>
      </c>
      <c r="BC663">
        <v>454</v>
      </c>
      <c r="BD663" t="s">
        <v>74</v>
      </c>
      <c r="BE663" t="s">
        <v>8683</v>
      </c>
      <c r="BF663" t="str">
        <f>HYPERLINK("http://dx.doi.org/10.1007/s00585-999-0443-4","http://dx.doi.org/10.1007/s00585-999-0443-4")</f>
        <v>http://dx.doi.org/10.1007/s00585-999-0443-4</v>
      </c>
      <c r="BG663" t="s">
        <v>74</v>
      </c>
      <c r="BH663" t="s">
        <v>74</v>
      </c>
      <c r="BI663">
        <v>12</v>
      </c>
      <c r="BJ663" t="s">
        <v>560</v>
      </c>
      <c r="BK663" t="s">
        <v>96</v>
      </c>
      <c r="BL663" t="s">
        <v>561</v>
      </c>
      <c r="BM663" t="s">
        <v>8684</v>
      </c>
      <c r="BN663" t="s">
        <v>74</v>
      </c>
      <c r="BO663" t="s">
        <v>7343</v>
      </c>
      <c r="BP663" t="s">
        <v>74</v>
      </c>
      <c r="BQ663" t="s">
        <v>74</v>
      </c>
      <c r="BR663" t="s">
        <v>99</v>
      </c>
      <c r="BS663" t="s">
        <v>8685</v>
      </c>
      <c r="BT663" t="str">
        <f>HYPERLINK("https%3A%2F%2Fwww.webofscience.com%2Fwos%2Fwoscc%2Ffull-record%2FWOS:000079860900001","View Full Record in Web of Science")</f>
        <v>View Full Record in Web of Science</v>
      </c>
    </row>
    <row r="664" spans="1:72" x14ac:dyDescent="0.15">
      <c r="A664" t="s">
        <v>72</v>
      </c>
      <c r="B664" t="s">
        <v>8686</v>
      </c>
      <c r="C664" t="s">
        <v>74</v>
      </c>
      <c r="D664" t="s">
        <v>74</v>
      </c>
      <c r="E664" t="s">
        <v>74</v>
      </c>
      <c r="F664" t="s">
        <v>8686</v>
      </c>
      <c r="G664" t="s">
        <v>74</v>
      </c>
      <c r="H664" t="s">
        <v>74</v>
      </c>
      <c r="I664" t="s">
        <v>8687</v>
      </c>
      <c r="J664" t="s">
        <v>544</v>
      </c>
      <c r="K664" t="s">
        <v>74</v>
      </c>
      <c r="L664" t="s">
        <v>74</v>
      </c>
      <c r="M664" t="s">
        <v>77</v>
      </c>
      <c r="N664" t="s">
        <v>78</v>
      </c>
      <c r="O664" t="s">
        <v>74</v>
      </c>
      <c r="P664" t="s">
        <v>74</v>
      </c>
      <c r="Q664" t="s">
        <v>74</v>
      </c>
      <c r="R664" t="s">
        <v>74</v>
      </c>
      <c r="S664" t="s">
        <v>74</v>
      </c>
      <c r="T664" t="s">
        <v>8688</v>
      </c>
      <c r="U664" t="s">
        <v>8689</v>
      </c>
      <c r="V664" t="s">
        <v>8690</v>
      </c>
      <c r="W664" t="s">
        <v>1066</v>
      </c>
      <c r="X664" t="s">
        <v>1067</v>
      </c>
      <c r="Y664" t="s">
        <v>8691</v>
      </c>
      <c r="Z664" t="s">
        <v>8692</v>
      </c>
      <c r="AA664" t="s">
        <v>74</v>
      </c>
      <c r="AB664" t="s">
        <v>74</v>
      </c>
      <c r="AC664" t="s">
        <v>74</v>
      </c>
      <c r="AD664" t="s">
        <v>74</v>
      </c>
      <c r="AE664" t="s">
        <v>74</v>
      </c>
      <c r="AF664" t="s">
        <v>74</v>
      </c>
      <c r="AG664">
        <v>34</v>
      </c>
      <c r="AH664">
        <v>16</v>
      </c>
      <c r="AI664">
        <v>16</v>
      </c>
      <c r="AJ664">
        <v>0</v>
      </c>
      <c r="AK664">
        <v>2</v>
      </c>
      <c r="AL664" t="s">
        <v>705</v>
      </c>
      <c r="AM664" t="s">
        <v>554</v>
      </c>
      <c r="AN664" t="s">
        <v>706</v>
      </c>
      <c r="AO664" t="s">
        <v>556</v>
      </c>
      <c r="AP664" t="s">
        <v>74</v>
      </c>
      <c r="AQ664" t="s">
        <v>74</v>
      </c>
      <c r="AR664" t="s">
        <v>557</v>
      </c>
      <c r="AS664" t="s">
        <v>558</v>
      </c>
      <c r="AT664" t="s">
        <v>8636</v>
      </c>
      <c r="AU664">
        <v>1999</v>
      </c>
      <c r="AV664">
        <v>17</v>
      </c>
      <c r="AW664">
        <v>4</v>
      </c>
      <c r="AX664" t="s">
        <v>74</v>
      </c>
      <c r="AY664" t="s">
        <v>74</v>
      </c>
      <c r="AZ664" t="s">
        <v>74</v>
      </c>
      <c r="BA664" t="s">
        <v>74</v>
      </c>
      <c r="BB664">
        <v>455</v>
      </c>
      <c r="BC664">
        <v>462</v>
      </c>
      <c r="BD664" t="s">
        <v>74</v>
      </c>
      <c r="BE664" t="s">
        <v>8693</v>
      </c>
      <c r="BF664" t="str">
        <f>HYPERLINK("http://dx.doi.org/10.1007/s00585-999-0455-0","http://dx.doi.org/10.1007/s00585-999-0455-0")</f>
        <v>http://dx.doi.org/10.1007/s00585-999-0455-0</v>
      </c>
      <c r="BG664" t="s">
        <v>74</v>
      </c>
      <c r="BH664" t="s">
        <v>74</v>
      </c>
      <c r="BI664">
        <v>8</v>
      </c>
      <c r="BJ664" t="s">
        <v>560</v>
      </c>
      <c r="BK664" t="s">
        <v>96</v>
      </c>
      <c r="BL664" t="s">
        <v>561</v>
      </c>
      <c r="BM664" t="s">
        <v>8684</v>
      </c>
      <c r="BN664" t="s">
        <v>74</v>
      </c>
      <c r="BO664" t="s">
        <v>575</v>
      </c>
      <c r="BP664" t="s">
        <v>74</v>
      </c>
      <c r="BQ664" t="s">
        <v>74</v>
      </c>
      <c r="BR664" t="s">
        <v>99</v>
      </c>
      <c r="BS664" t="s">
        <v>8694</v>
      </c>
      <c r="BT664" t="str">
        <f>HYPERLINK("https%3A%2F%2Fwww.webofscience.com%2Fwos%2Fwoscc%2Ffull-record%2FWOS:000079860900002","View Full Record in Web of Science")</f>
        <v>View Full Record in Web of Science</v>
      </c>
    </row>
    <row r="665" spans="1:72" x14ac:dyDescent="0.15">
      <c r="A665" t="s">
        <v>72</v>
      </c>
      <c r="B665" t="s">
        <v>8695</v>
      </c>
      <c r="C665" t="s">
        <v>74</v>
      </c>
      <c r="D665" t="s">
        <v>74</v>
      </c>
      <c r="E665" t="s">
        <v>74</v>
      </c>
      <c r="F665" t="s">
        <v>8695</v>
      </c>
      <c r="G665" t="s">
        <v>74</v>
      </c>
      <c r="H665" t="s">
        <v>74</v>
      </c>
      <c r="I665" t="s">
        <v>8696</v>
      </c>
      <c r="J665" t="s">
        <v>4123</v>
      </c>
      <c r="K665" t="s">
        <v>74</v>
      </c>
      <c r="L665" t="s">
        <v>74</v>
      </c>
      <c r="M665" t="s">
        <v>77</v>
      </c>
      <c r="N665" t="s">
        <v>205</v>
      </c>
      <c r="O665" t="s">
        <v>74</v>
      </c>
      <c r="P665" t="s">
        <v>74</v>
      </c>
      <c r="Q665" t="s">
        <v>74</v>
      </c>
      <c r="R665" t="s">
        <v>74</v>
      </c>
      <c r="S665" t="s">
        <v>74</v>
      </c>
      <c r="T665" t="s">
        <v>74</v>
      </c>
      <c r="U665" t="s">
        <v>74</v>
      </c>
      <c r="V665" t="s">
        <v>74</v>
      </c>
      <c r="W665" t="s">
        <v>74</v>
      </c>
      <c r="X665" t="s">
        <v>74</v>
      </c>
      <c r="Y665" t="s">
        <v>74</v>
      </c>
      <c r="Z665" t="s">
        <v>74</v>
      </c>
      <c r="AA665" t="s">
        <v>74</v>
      </c>
      <c r="AB665" t="s">
        <v>74</v>
      </c>
      <c r="AC665" t="s">
        <v>74</v>
      </c>
      <c r="AD665" t="s">
        <v>74</v>
      </c>
      <c r="AE665" t="s">
        <v>74</v>
      </c>
      <c r="AF665" t="s">
        <v>74</v>
      </c>
      <c r="AG665">
        <v>0</v>
      </c>
      <c r="AH665">
        <v>0</v>
      </c>
      <c r="AI665">
        <v>0</v>
      </c>
      <c r="AJ665">
        <v>0</v>
      </c>
      <c r="AK665">
        <v>0</v>
      </c>
      <c r="AL665" t="s">
        <v>4130</v>
      </c>
      <c r="AM665" t="s">
        <v>4131</v>
      </c>
      <c r="AN665" t="s">
        <v>4132</v>
      </c>
      <c r="AO665" t="s">
        <v>4133</v>
      </c>
      <c r="AP665" t="s">
        <v>74</v>
      </c>
      <c r="AQ665" t="s">
        <v>74</v>
      </c>
      <c r="AR665" t="s">
        <v>4134</v>
      </c>
      <c r="AS665" t="s">
        <v>4135</v>
      </c>
      <c r="AT665" t="s">
        <v>8636</v>
      </c>
      <c r="AU665">
        <v>1999</v>
      </c>
      <c r="AV665">
        <v>42</v>
      </c>
      <c r="AW665">
        <v>2</v>
      </c>
      <c r="AX665" t="s">
        <v>74</v>
      </c>
      <c r="AY665" t="s">
        <v>74</v>
      </c>
      <c r="AZ665" t="s">
        <v>74</v>
      </c>
      <c r="BA665" t="s">
        <v>74</v>
      </c>
      <c r="BB665" t="s">
        <v>8697</v>
      </c>
      <c r="BC665" t="s">
        <v>8697</v>
      </c>
      <c r="BD665" t="s">
        <v>74</v>
      </c>
      <c r="BE665" t="s">
        <v>74</v>
      </c>
      <c r="BF665" t="s">
        <v>74</v>
      </c>
      <c r="BG665" t="s">
        <v>74</v>
      </c>
      <c r="BH665" t="s">
        <v>74</v>
      </c>
      <c r="BI665">
        <v>1</v>
      </c>
      <c r="BJ665" t="s">
        <v>216</v>
      </c>
      <c r="BK665" t="s">
        <v>96</v>
      </c>
      <c r="BL665" t="s">
        <v>216</v>
      </c>
      <c r="BM665" t="s">
        <v>8698</v>
      </c>
      <c r="BN665" t="s">
        <v>74</v>
      </c>
      <c r="BO665" t="s">
        <v>74</v>
      </c>
      <c r="BP665" t="s">
        <v>74</v>
      </c>
      <c r="BQ665" t="s">
        <v>74</v>
      </c>
      <c r="BR665" t="s">
        <v>99</v>
      </c>
      <c r="BS665" t="s">
        <v>8699</v>
      </c>
      <c r="BT665" t="str">
        <f>HYPERLINK("https%3A%2F%2Fwww.webofscience.com%2Fwos%2Fwoscc%2Ffull-record%2FWOS:000080763400001","View Full Record in Web of Science")</f>
        <v>View Full Record in Web of Science</v>
      </c>
    </row>
    <row r="666" spans="1:72" x14ac:dyDescent="0.15">
      <c r="A666" t="s">
        <v>72</v>
      </c>
      <c r="B666" t="s">
        <v>8700</v>
      </c>
      <c r="C666" t="s">
        <v>74</v>
      </c>
      <c r="D666" t="s">
        <v>74</v>
      </c>
      <c r="E666" t="s">
        <v>74</v>
      </c>
      <c r="F666" t="s">
        <v>8700</v>
      </c>
      <c r="G666" t="s">
        <v>74</v>
      </c>
      <c r="H666" t="s">
        <v>74</v>
      </c>
      <c r="I666" t="s">
        <v>8701</v>
      </c>
      <c r="J666" t="s">
        <v>4123</v>
      </c>
      <c r="K666" t="s">
        <v>74</v>
      </c>
      <c r="L666" t="s">
        <v>74</v>
      </c>
      <c r="M666" t="s">
        <v>77</v>
      </c>
      <c r="N666" t="s">
        <v>78</v>
      </c>
      <c r="O666" t="s">
        <v>74</v>
      </c>
      <c r="P666" t="s">
        <v>74</v>
      </c>
      <c r="Q666" t="s">
        <v>74</v>
      </c>
      <c r="R666" t="s">
        <v>74</v>
      </c>
      <c r="S666" t="s">
        <v>74</v>
      </c>
      <c r="T666" t="s">
        <v>8702</v>
      </c>
      <c r="U666" t="s">
        <v>8703</v>
      </c>
      <c r="V666" t="s">
        <v>8704</v>
      </c>
      <c r="W666" t="s">
        <v>8705</v>
      </c>
      <c r="X666" t="s">
        <v>8706</v>
      </c>
      <c r="Y666" t="s">
        <v>8707</v>
      </c>
      <c r="Z666" t="s">
        <v>74</v>
      </c>
      <c r="AA666" t="s">
        <v>8708</v>
      </c>
      <c r="AB666" t="s">
        <v>8709</v>
      </c>
      <c r="AC666" t="s">
        <v>74</v>
      </c>
      <c r="AD666" t="s">
        <v>74</v>
      </c>
      <c r="AE666" t="s">
        <v>74</v>
      </c>
      <c r="AF666" t="s">
        <v>74</v>
      </c>
      <c r="AG666">
        <v>40</v>
      </c>
      <c r="AH666">
        <v>5</v>
      </c>
      <c r="AI666">
        <v>5</v>
      </c>
      <c r="AJ666">
        <v>0</v>
      </c>
      <c r="AK666">
        <v>1</v>
      </c>
      <c r="AL666" t="s">
        <v>4130</v>
      </c>
      <c r="AM666" t="s">
        <v>4131</v>
      </c>
      <c r="AN666" t="s">
        <v>4132</v>
      </c>
      <c r="AO666" t="s">
        <v>4133</v>
      </c>
      <c r="AP666" t="s">
        <v>74</v>
      </c>
      <c r="AQ666" t="s">
        <v>74</v>
      </c>
      <c r="AR666" t="s">
        <v>4134</v>
      </c>
      <c r="AS666" t="s">
        <v>4135</v>
      </c>
      <c r="AT666" t="s">
        <v>8636</v>
      </c>
      <c r="AU666">
        <v>1999</v>
      </c>
      <c r="AV666">
        <v>42</v>
      </c>
      <c r="AW666">
        <v>2</v>
      </c>
      <c r="AX666" t="s">
        <v>74</v>
      </c>
      <c r="AY666" t="s">
        <v>74</v>
      </c>
      <c r="AZ666" t="s">
        <v>74</v>
      </c>
      <c r="BA666" t="s">
        <v>74</v>
      </c>
      <c r="BB666">
        <v>141</v>
      </c>
      <c r="BC666">
        <v>151</v>
      </c>
      <c r="BD666" t="s">
        <v>74</v>
      </c>
      <c r="BE666" t="s">
        <v>74</v>
      </c>
      <c r="BF666" t="s">
        <v>74</v>
      </c>
      <c r="BG666" t="s">
        <v>74</v>
      </c>
      <c r="BH666" t="s">
        <v>74</v>
      </c>
      <c r="BI666">
        <v>11</v>
      </c>
      <c r="BJ666" t="s">
        <v>216</v>
      </c>
      <c r="BK666" t="s">
        <v>96</v>
      </c>
      <c r="BL666" t="s">
        <v>216</v>
      </c>
      <c r="BM666" t="s">
        <v>8698</v>
      </c>
      <c r="BN666" t="s">
        <v>74</v>
      </c>
      <c r="BO666" t="s">
        <v>74</v>
      </c>
      <c r="BP666" t="s">
        <v>74</v>
      </c>
      <c r="BQ666" t="s">
        <v>74</v>
      </c>
      <c r="BR666" t="s">
        <v>99</v>
      </c>
      <c r="BS666" t="s">
        <v>8710</v>
      </c>
      <c r="BT666" t="str">
        <f>HYPERLINK("https%3A%2F%2Fwww.webofscience.com%2Fwos%2Fwoscc%2Ffull-record%2FWOS:000080763400002","View Full Record in Web of Science")</f>
        <v>View Full Record in Web of Science</v>
      </c>
    </row>
    <row r="667" spans="1:72" x14ac:dyDescent="0.15">
      <c r="A667" t="s">
        <v>72</v>
      </c>
      <c r="B667" t="s">
        <v>8711</v>
      </c>
      <c r="C667" t="s">
        <v>74</v>
      </c>
      <c r="D667" t="s">
        <v>74</v>
      </c>
      <c r="E667" t="s">
        <v>74</v>
      </c>
      <c r="F667" t="s">
        <v>8711</v>
      </c>
      <c r="G667" t="s">
        <v>74</v>
      </c>
      <c r="H667" t="s">
        <v>74</v>
      </c>
      <c r="I667" t="s">
        <v>8712</v>
      </c>
      <c r="J667" t="s">
        <v>4123</v>
      </c>
      <c r="K667" t="s">
        <v>74</v>
      </c>
      <c r="L667" t="s">
        <v>74</v>
      </c>
      <c r="M667" t="s">
        <v>77</v>
      </c>
      <c r="N667" t="s">
        <v>78</v>
      </c>
      <c r="O667" t="s">
        <v>74</v>
      </c>
      <c r="P667" t="s">
        <v>74</v>
      </c>
      <c r="Q667" t="s">
        <v>74</v>
      </c>
      <c r="R667" t="s">
        <v>74</v>
      </c>
      <c r="S667" t="s">
        <v>74</v>
      </c>
      <c r="T667" t="s">
        <v>8713</v>
      </c>
      <c r="U667" t="s">
        <v>74</v>
      </c>
      <c r="V667" t="s">
        <v>8714</v>
      </c>
      <c r="W667" t="s">
        <v>8715</v>
      </c>
      <c r="X667" t="s">
        <v>8716</v>
      </c>
      <c r="Y667" t="s">
        <v>8717</v>
      </c>
      <c r="Z667" t="s">
        <v>74</v>
      </c>
      <c r="AA667" t="s">
        <v>74</v>
      </c>
      <c r="AB667" t="s">
        <v>8718</v>
      </c>
      <c r="AC667" t="s">
        <v>74</v>
      </c>
      <c r="AD667" t="s">
        <v>74</v>
      </c>
      <c r="AE667" t="s">
        <v>74</v>
      </c>
      <c r="AF667" t="s">
        <v>74</v>
      </c>
      <c r="AG667">
        <v>9</v>
      </c>
      <c r="AH667">
        <v>6</v>
      </c>
      <c r="AI667">
        <v>6</v>
      </c>
      <c r="AJ667">
        <v>0</v>
      </c>
      <c r="AK667">
        <v>4</v>
      </c>
      <c r="AL667" t="s">
        <v>4130</v>
      </c>
      <c r="AM667" t="s">
        <v>4131</v>
      </c>
      <c r="AN667" t="s">
        <v>4132</v>
      </c>
      <c r="AO667" t="s">
        <v>4133</v>
      </c>
      <c r="AP667" t="s">
        <v>74</v>
      </c>
      <c r="AQ667" t="s">
        <v>74</v>
      </c>
      <c r="AR667" t="s">
        <v>4134</v>
      </c>
      <c r="AS667" t="s">
        <v>4135</v>
      </c>
      <c r="AT667" t="s">
        <v>8636</v>
      </c>
      <c r="AU667">
        <v>1999</v>
      </c>
      <c r="AV667">
        <v>42</v>
      </c>
      <c r="AW667">
        <v>2</v>
      </c>
      <c r="AX667" t="s">
        <v>74</v>
      </c>
      <c r="AY667" t="s">
        <v>74</v>
      </c>
      <c r="AZ667" t="s">
        <v>74</v>
      </c>
      <c r="BA667" t="s">
        <v>74</v>
      </c>
      <c r="BB667">
        <v>161</v>
      </c>
      <c r="BC667">
        <v>170</v>
      </c>
      <c r="BD667" t="s">
        <v>74</v>
      </c>
      <c r="BE667" t="s">
        <v>74</v>
      </c>
      <c r="BF667" t="s">
        <v>74</v>
      </c>
      <c r="BG667" t="s">
        <v>74</v>
      </c>
      <c r="BH667" t="s">
        <v>74</v>
      </c>
      <c r="BI667">
        <v>10</v>
      </c>
      <c r="BJ667" t="s">
        <v>216</v>
      </c>
      <c r="BK667" t="s">
        <v>96</v>
      </c>
      <c r="BL667" t="s">
        <v>216</v>
      </c>
      <c r="BM667" t="s">
        <v>8698</v>
      </c>
      <c r="BN667" t="s">
        <v>74</v>
      </c>
      <c r="BO667" t="s">
        <v>74</v>
      </c>
      <c r="BP667" t="s">
        <v>74</v>
      </c>
      <c r="BQ667" t="s">
        <v>74</v>
      </c>
      <c r="BR667" t="s">
        <v>99</v>
      </c>
      <c r="BS667" t="s">
        <v>8719</v>
      </c>
      <c r="BT667" t="str">
        <f>HYPERLINK("https%3A%2F%2Fwww.webofscience.com%2Fwos%2Fwoscc%2Ffull-record%2FWOS:000080763400004","View Full Record in Web of Science")</f>
        <v>View Full Record in Web of Science</v>
      </c>
    </row>
    <row r="668" spans="1:72" x14ac:dyDescent="0.15">
      <c r="A668" t="s">
        <v>72</v>
      </c>
      <c r="B668" t="s">
        <v>8720</v>
      </c>
      <c r="C668" t="s">
        <v>74</v>
      </c>
      <c r="D668" t="s">
        <v>74</v>
      </c>
      <c r="E668" t="s">
        <v>74</v>
      </c>
      <c r="F668" t="s">
        <v>8720</v>
      </c>
      <c r="G668" t="s">
        <v>74</v>
      </c>
      <c r="H668" t="s">
        <v>74</v>
      </c>
      <c r="I668" t="s">
        <v>8721</v>
      </c>
      <c r="J668" t="s">
        <v>4123</v>
      </c>
      <c r="K668" t="s">
        <v>74</v>
      </c>
      <c r="L668" t="s">
        <v>74</v>
      </c>
      <c r="M668" t="s">
        <v>77</v>
      </c>
      <c r="N668" t="s">
        <v>78</v>
      </c>
      <c r="O668" t="s">
        <v>74</v>
      </c>
      <c r="P668" t="s">
        <v>74</v>
      </c>
      <c r="Q668" t="s">
        <v>74</v>
      </c>
      <c r="R668" t="s">
        <v>74</v>
      </c>
      <c r="S668" t="s">
        <v>74</v>
      </c>
      <c r="T668" t="s">
        <v>8722</v>
      </c>
      <c r="U668" t="s">
        <v>8723</v>
      </c>
      <c r="V668" t="s">
        <v>8724</v>
      </c>
      <c r="W668" t="s">
        <v>8725</v>
      </c>
      <c r="X668" t="s">
        <v>8726</v>
      </c>
      <c r="Y668" t="s">
        <v>8727</v>
      </c>
      <c r="Z668" t="s">
        <v>74</v>
      </c>
      <c r="AA668" t="s">
        <v>74</v>
      </c>
      <c r="AB668" t="s">
        <v>8728</v>
      </c>
      <c r="AC668" t="s">
        <v>74</v>
      </c>
      <c r="AD668" t="s">
        <v>74</v>
      </c>
      <c r="AE668" t="s">
        <v>74</v>
      </c>
      <c r="AF668" t="s">
        <v>74</v>
      </c>
      <c r="AG668">
        <v>4</v>
      </c>
      <c r="AH668">
        <v>0</v>
      </c>
      <c r="AI668">
        <v>0</v>
      </c>
      <c r="AJ668">
        <v>0</v>
      </c>
      <c r="AK668">
        <v>1</v>
      </c>
      <c r="AL668" t="s">
        <v>4130</v>
      </c>
      <c r="AM668" t="s">
        <v>4131</v>
      </c>
      <c r="AN668" t="s">
        <v>4132</v>
      </c>
      <c r="AO668" t="s">
        <v>4133</v>
      </c>
      <c r="AP668" t="s">
        <v>74</v>
      </c>
      <c r="AQ668" t="s">
        <v>74</v>
      </c>
      <c r="AR668" t="s">
        <v>4134</v>
      </c>
      <c r="AS668" t="s">
        <v>4135</v>
      </c>
      <c r="AT668" t="s">
        <v>8636</v>
      </c>
      <c r="AU668">
        <v>1999</v>
      </c>
      <c r="AV668">
        <v>42</v>
      </c>
      <c r="AW668">
        <v>2</v>
      </c>
      <c r="AX668" t="s">
        <v>74</v>
      </c>
      <c r="AY668" t="s">
        <v>74</v>
      </c>
      <c r="AZ668" t="s">
        <v>74</v>
      </c>
      <c r="BA668" t="s">
        <v>74</v>
      </c>
      <c r="BB668">
        <v>211</v>
      </c>
      <c r="BC668">
        <v>214</v>
      </c>
      <c r="BD668" t="s">
        <v>74</v>
      </c>
      <c r="BE668" t="s">
        <v>74</v>
      </c>
      <c r="BF668" t="s">
        <v>74</v>
      </c>
      <c r="BG668" t="s">
        <v>74</v>
      </c>
      <c r="BH668" t="s">
        <v>74</v>
      </c>
      <c r="BI668">
        <v>4</v>
      </c>
      <c r="BJ668" t="s">
        <v>216</v>
      </c>
      <c r="BK668" t="s">
        <v>96</v>
      </c>
      <c r="BL668" t="s">
        <v>216</v>
      </c>
      <c r="BM668" t="s">
        <v>8698</v>
      </c>
      <c r="BN668" t="s">
        <v>74</v>
      </c>
      <c r="BO668" t="s">
        <v>74</v>
      </c>
      <c r="BP668" t="s">
        <v>74</v>
      </c>
      <c r="BQ668" t="s">
        <v>74</v>
      </c>
      <c r="BR668" t="s">
        <v>99</v>
      </c>
      <c r="BS668" t="s">
        <v>8729</v>
      </c>
      <c r="BT668" t="str">
        <f>HYPERLINK("https%3A%2F%2Fwww.webofscience.com%2Fwos%2Fwoscc%2Ffull-record%2FWOS:000080763400007","View Full Record in Web of Science")</f>
        <v>View Full Record in Web of Science</v>
      </c>
    </row>
    <row r="669" spans="1:72" x14ac:dyDescent="0.15">
      <c r="A669" t="s">
        <v>72</v>
      </c>
      <c r="B669" t="s">
        <v>8730</v>
      </c>
      <c r="C669" t="s">
        <v>74</v>
      </c>
      <c r="D669" t="s">
        <v>74</v>
      </c>
      <c r="E669" t="s">
        <v>74</v>
      </c>
      <c r="F669" t="s">
        <v>8730</v>
      </c>
      <c r="G669" t="s">
        <v>74</v>
      </c>
      <c r="H669" t="s">
        <v>74</v>
      </c>
      <c r="I669" t="s">
        <v>8731</v>
      </c>
      <c r="J669" t="s">
        <v>4123</v>
      </c>
      <c r="K669" t="s">
        <v>74</v>
      </c>
      <c r="L669" t="s">
        <v>74</v>
      </c>
      <c r="M669" t="s">
        <v>77</v>
      </c>
      <c r="N669" t="s">
        <v>78</v>
      </c>
      <c r="O669" t="s">
        <v>74</v>
      </c>
      <c r="P669" t="s">
        <v>74</v>
      </c>
      <c r="Q669" t="s">
        <v>74</v>
      </c>
      <c r="R669" t="s">
        <v>74</v>
      </c>
      <c r="S669" t="s">
        <v>74</v>
      </c>
      <c r="T669" t="s">
        <v>8732</v>
      </c>
      <c r="U669" t="s">
        <v>8733</v>
      </c>
      <c r="V669" t="s">
        <v>8734</v>
      </c>
      <c r="W669" t="s">
        <v>8735</v>
      </c>
      <c r="X669" t="s">
        <v>8736</v>
      </c>
      <c r="Y669" t="s">
        <v>8737</v>
      </c>
      <c r="Z669" t="s">
        <v>74</v>
      </c>
      <c r="AA669" t="s">
        <v>8738</v>
      </c>
      <c r="AB669" t="s">
        <v>8739</v>
      </c>
      <c r="AC669" t="s">
        <v>74</v>
      </c>
      <c r="AD669" t="s">
        <v>74</v>
      </c>
      <c r="AE669" t="s">
        <v>74</v>
      </c>
      <c r="AF669" t="s">
        <v>74</v>
      </c>
      <c r="AG669">
        <v>29</v>
      </c>
      <c r="AH669">
        <v>5</v>
      </c>
      <c r="AI669">
        <v>5</v>
      </c>
      <c r="AJ669">
        <v>0</v>
      </c>
      <c r="AK669">
        <v>3</v>
      </c>
      <c r="AL669" t="s">
        <v>4130</v>
      </c>
      <c r="AM669" t="s">
        <v>4131</v>
      </c>
      <c r="AN669" t="s">
        <v>4132</v>
      </c>
      <c r="AO669" t="s">
        <v>4133</v>
      </c>
      <c r="AP669" t="s">
        <v>74</v>
      </c>
      <c r="AQ669" t="s">
        <v>74</v>
      </c>
      <c r="AR669" t="s">
        <v>4134</v>
      </c>
      <c r="AS669" t="s">
        <v>4135</v>
      </c>
      <c r="AT669" t="s">
        <v>8636</v>
      </c>
      <c r="AU669">
        <v>1999</v>
      </c>
      <c r="AV669">
        <v>42</v>
      </c>
      <c r="AW669">
        <v>2</v>
      </c>
      <c r="AX669" t="s">
        <v>74</v>
      </c>
      <c r="AY669" t="s">
        <v>74</v>
      </c>
      <c r="AZ669" t="s">
        <v>74</v>
      </c>
      <c r="BA669" t="s">
        <v>74</v>
      </c>
      <c r="BB669">
        <v>215</v>
      </c>
      <c r="BC669">
        <v>227</v>
      </c>
      <c r="BD669" t="s">
        <v>74</v>
      </c>
      <c r="BE669" t="s">
        <v>74</v>
      </c>
      <c r="BF669" t="s">
        <v>74</v>
      </c>
      <c r="BG669" t="s">
        <v>74</v>
      </c>
      <c r="BH669" t="s">
        <v>74</v>
      </c>
      <c r="BI669">
        <v>13</v>
      </c>
      <c r="BJ669" t="s">
        <v>216</v>
      </c>
      <c r="BK669" t="s">
        <v>96</v>
      </c>
      <c r="BL669" t="s">
        <v>216</v>
      </c>
      <c r="BM669" t="s">
        <v>8698</v>
      </c>
      <c r="BN669" t="s">
        <v>74</v>
      </c>
      <c r="BO669" t="s">
        <v>74</v>
      </c>
      <c r="BP669" t="s">
        <v>74</v>
      </c>
      <c r="BQ669" t="s">
        <v>74</v>
      </c>
      <c r="BR669" t="s">
        <v>99</v>
      </c>
      <c r="BS669" t="s">
        <v>8740</v>
      </c>
      <c r="BT669" t="str">
        <f>HYPERLINK("https%3A%2F%2Fwww.webofscience.com%2Fwos%2Fwoscc%2Ffull-record%2FWOS:000080763400008","View Full Record in Web of Science")</f>
        <v>View Full Record in Web of Science</v>
      </c>
    </row>
    <row r="670" spans="1:72" x14ac:dyDescent="0.15">
      <c r="A670" t="s">
        <v>72</v>
      </c>
      <c r="B670" t="s">
        <v>8741</v>
      </c>
      <c r="C670" t="s">
        <v>74</v>
      </c>
      <c r="D670" t="s">
        <v>74</v>
      </c>
      <c r="E670" t="s">
        <v>74</v>
      </c>
      <c r="F670" t="s">
        <v>8741</v>
      </c>
      <c r="G670" t="s">
        <v>74</v>
      </c>
      <c r="H670" t="s">
        <v>74</v>
      </c>
      <c r="I670" t="s">
        <v>8742</v>
      </c>
      <c r="J670" t="s">
        <v>4123</v>
      </c>
      <c r="K670" t="s">
        <v>74</v>
      </c>
      <c r="L670" t="s">
        <v>74</v>
      </c>
      <c r="M670" t="s">
        <v>77</v>
      </c>
      <c r="N670" t="s">
        <v>78</v>
      </c>
      <c r="O670" t="s">
        <v>74</v>
      </c>
      <c r="P670" t="s">
        <v>74</v>
      </c>
      <c r="Q670" t="s">
        <v>74</v>
      </c>
      <c r="R670" t="s">
        <v>74</v>
      </c>
      <c r="S670" t="s">
        <v>74</v>
      </c>
      <c r="T670" t="s">
        <v>8743</v>
      </c>
      <c r="U670" t="s">
        <v>74</v>
      </c>
      <c r="V670" t="s">
        <v>8744</v>
      </c>
      <c r="W670" t="s">
        <v>8745</v>
      </c>
      <c r="X670" t="s">
        <v>131</v>
      </c>
      <c r="Y670" t="s">
        <v>8746</v>
      </c>
      <c r="Z670" t="s">
        <v>74</v>
      </c>
      <c r="AA670" t="s">
        <v>74</v>
      </c>
      <c r="AB670" t="s">
        <v>74</v>
      </c>
      <c r="AC670" t="s">
        <v>74</v>
      </c>
      <c r="AD670" t="s">
        <v>74</v>
      </c>
      <c r="AE670" t="s">
        <v>74</v>
      </c>
      <c r="AF670" t="s">
        <v>74</v>
      </c>
      <c r="AG670">
        <v>12</v>
      </c>
      <c r="AH670">
        <v>13</v>
      </c>
      <c r="AI670">
        <v>14</v>
      </c>
      <c r="AJ670">
        <v>0</v>
      </c>
      <c r="AK670">
        <v>0</v>
      </c>
      <c r="AL670" t="s">
        <v>4130</v>
      </c>
      <c r="AM670" t="s">
        <v>4131</v>
      </c>
      <c r="AN670" t="s">
        <v>4132</v>
      </c>
      <c r="AO670" t="s">
        <v>4133</v>
      </c>
      <c r="AP670" t="s">
        <v>74</v>
      </c>
      <c r="AQ670" t="s">
        <v>74</v>
      </c>
      <c r="AR670" t="s">
        <v>4134</v>
      </c>
      <c r="AS670" t="s">
        <v>4135</v>
      </c>
      <c r="AT670" t="s">
        <v>8636</v>
      </c>
      <c r="AU670">
        <v>1999</v>
      </c>
      <c r="AV670">
        <v>42</v>
      </c>
      <c r="AW670">
        <v>2</v>
      </c>
      <c r="AX670" t="s">
        <v>74</v>
      </c>
      <c r="AY670" t="s">
        <v>74</v>
      </c>
      <c r="AZ670" t="s">
        <v>74</v>
      </c>
      <c r="BA670" t="s">
        <v>74</v>
      </c>
      <c r="BB670">
        <v>249</v>
      </c>
      <c r="BC670">
        <v>259</v>
      </c>
      <c r="BD670" t="s">
        <v>74</v>
      </c>
      <c r="BE670" t="s">
        <v>74</v>
      </c>
      <c r="BF670" t="s">
        <v>74</v>
      </c>
      <c r="BG670" t="s">
        <v>74</v>
      </c>
      <c r="BH670" t="s">
        <v>74</v>
      </c>
      <c r="BI670">
        <v>11</v>
      </c>
      <c r="BJ670" t="s">
        <v>216</v>
      </c>
      <c r="BK670" t="s">
        <v>96</v>
      </c>
      <c r="BL670" t="s">
        <v>216</v>
      </c>
      <c r="BM670" t="s">
        <v>8698</v>
      </c>
      <c r="BN670" t="s">
        <v>74</v>
      </c>
      <c r="BO670" t="s">
        <v>74</v>
      </c>
      <c r="BP670" t="s">
        <v>74</v>
      </c>
      <c r="BQ670" t="s">
        <v>74</v>
      </c>
      <c r="BR670" t="s">
        <v>99</v>
      </c>
      <c r="BS670" t="s">
        <v>8747</v>
      </c>
      <c r="BT670" t="str">
        <f>HYPERLINK("https%3A%2F%2Fwww.webofscience.com%2Fwos%2Fwoscc%2Ffull-record%2FWOS:000080763400010","View Full Record in Web of Science")</f>
        <v>View Full Record in Web of Science</v>
      </c>
    </row>
    <row r="671" spans="1:72" x14ac:dyDescent="0.15">
      <c r="A671" t="s">
        <v>72</v>
      </c>
      <c r="B671" t="s">
        <v>8748</v>
      </c>
      <c r="C671" t="s">
        <v>74</v>
      </c>
      <c r="D671" t="s">
        <v>74</v>
      </c>
      <c r="E671" t="s">
        <v>74</v>
      </c>
      <c r="F671" t="s">
        <v>8748</v>
      </c>
      <c r="G671" t="s">
        <v>74</v>
      </c>
      <c r="H671" t="s">
        <v>74</v>
      </c>
      <c r="I671" t="s">
        <v>8749</v>
      </c>
      <c r="J671" t="s">
        <v>4123</v>
      </c>
      <c r="K671" t="s">
        <v>74</v>
      </c>
      <c r="L671" t="s">
        <v>74</v>
      </c>
      <c r="M671" t="s">
        <v>77</v>
      </c>
      <c r="N671" t="s">
        <v>78</v>
      </c>
      <c r="O671" t="s">
        <v>74</v>
      </c>
      <c r="P671" t="s">
        <v>74</v>
      </c>
      <c r="Q671" t="s">
        <v>74</v>
      </c>
      <c r="R671" t="s">
        <v>74</v>
      </c>
      <c r="S671" t="s">
        <v>74</v>
      </c>
      <c r="T671" t="s">
        <v>8750</v>
      </c>
      <c r="U671" t="s">
        <v>74</v>
      </c>
      <c r="V671" t="s">
        <v>8751</v>
      </c>
      <c r="W671" t="s">
        <v>4558</v>
      </c>
      <c r="X671" t="s">
        <v>4559</v>
      </c>
      <c r="Y671" t="s">
        <v>8752</v>
      </c>
      <c r="Z671" t="s">
        <v>74</v>
      </c>
      <c r="AA671" t="s">
        <v>2929</v>
      </c>
      <c r="AB671" t="s">
        <v>74</v>
      </c>
      <c r="AC671" t="s">
        <v>74</v>
      </c>
      <c r="AD671" t="s">
        <v>74</v>
      </c>
      <c r="AE671" t="s">
        <v>74</v>
      </c>
      <c r="AF671" t="s">
        <v>74</v>
      </c>
      <c r="AG671">
        <v>0</v>
      </c>
      <c r="AH671">
        <v>3</v>
      </c>
      <c r="AI671">
        <v>3</v>
      </c>
      <c r="AJ671">
        <v>0</v>
      </c>
      <c r="AK671">
        <v>1</v>
      </c>
      <c r="AL671" t="s">
        <v>4130</v>
      </c>
      <c r="AM671" t="s">
        <v>4131</v>
      </c>
      <c r="AN671" t="s">
        <v>4132</v>
      </c>
      <c r="AO671" t="s">
        <v>4133</v>
      </c>
      <c r="AP671" t="s">
        <v>74</v>
      </c>
      <c r="AQ671" t="s">
        <v>74</v>
      </c>
      <c r="AR671" t="s">
        <v>4134</v>
      </c>
      <c r="AS671" t="s">
        <v>4135</v>
      </c>
      <c r="AT671" t="s">
        <v>8636</v>
      </c>
      <c r="AU671">
        <v>1999</v>
      </c>
      <c r="AV671">
        <v>42</v>
      </c>
      <c r="AW671">
        <v>2</v>
      </c>
      <c r="AX671" t="s">
        <v>74</v>
      </c>
      <c r="AY671" t="s">
        <v>74</v>
      </c>
      <c r="AZ671" t="s">
        <v>74</v>
      </c>
      <c r="BA671" t="s">
        <v>74</v>
      </c>
      <c r="BB671">
        <v>261</v>
      </c>
      <c r="BC671">
        <v>264</v>
      </c>
      <c r="BD671" t="s">
        <v>74</v>
      </c>
      <c r="BE671" t="s">
        <v>74</v>
      </c>
      <c r="BF671" t="s">
        <v>74</v>
      </c>
      <c r="BG671" t="s">
        <v>74</v>
      </c>
      <c r="BH671" t="s">
        <v>74</v>
      </c>
      <c r="BI671">
        <v>4</v>
      </c>
      <c r="BJ671" t="s">
        <v>216</v>
      </c>
      <c r="BK671" t="s">
        <v>96</v>
      </c>
      <c r="BL671" t="s">
        <v>216</v>
      </c>
      <c r="BM671" t="s">
        <v>8698</v>
      </c>
      <c r="BN671" t="s">
        <v>74</v>
      </c>
      <c r="BO671" t="s">
        <v>74</v>
      </c>
      <c r="BP671" t="s">
        <v>74</v>
      </c>
      <c r="BQ671" t="s">
        <v>74</v>
      </c>
      <c r="BR671" t="s">
        <v>99</v>
      </c>
      <c r="BS671" t="s">
        <v>8753</v>
      </c>
      <c r="BT671" t="str">
        <f>HYPERLINK("https%3A%2F%2Fwww.webofscience.com%2Fwos%2Fwoscc%2Ffull-record%2FWOS:000080763400011","View Full Record in Web of Science")</f>
        <v>View Full Record in Web of Science</v>
      </c>
    </row>
    <row r="672" spans="1:72" x14ac:dyDescent="0.15">
      <c r="A672" t="s">
        <v>72</v>
      </c>
      <c r="B672" t="s">
        <v>8754</v>
      </c>
      <c r="C672" t="s">
        <v>74</v>
      </c>
      <c r="D672" t="s">
        <v>74</v>
      </c>
      <c r="E672" t="s">
        <v>74</v>
      </c>
      <c r="F672" t="s">
        <v>8754</v>
      </c>
      <c r="G672" t="s">
        <v>74</v>
      </c>
      <c r="H672" t="s">
        <v>74</v>
      </c>
      <c r="I672" t="s">
        <v>8755</v>
      </c>
      <c r="J672" t="s">
        <v>4123</v>
      </c>
      <c r="K672" t="s">
        <v>74</v>
      </c>
      <c r="L672" t="s">
        <v>74</v>
      </c>
      <c r="M672" t="s">
        <v>77</v>
      </c>
      <c r="N672" t="s">
        <v>78</v>
      </c>
      <c r="O672" t="s">
        <v>74</v>
      </c>
      <c r="P672" t="s">
        <v>74</v>
      </c>
      <c r="Q672" t="s">
        <v>74</v>
      </c>
      <c r="R672" t="s">
        <v>74</v>
      </c>
      <c r="S672" t="s">
        <v>74</v>
      </c>
      <c r="T672" t="s">
        <v>8756</v>
      </c>
      <c r="U672" t="s">
        <v>8757</v>
      </c>
      <c r="V672" t="s">
        <v>8758</v>
      </c>
      <c r="W672" t="s">
        <v>8759</v>
      </c>
      <c r="X672" t="s">
        <v>8760</v>
      </c>
      <c r="Y672" t="s">
        <v>8761</v>
      </c>
      <c r="Z672" t="s">
        <v>74</v>
      </c>
      <c r="AA672" t="s">
        <v>8762</v>
      </c>
      <c r="AB672" t="s">
        <v>8763</v>
      </c>
      <c r="AC672" t="s">
        <v>74</v>
      </c>
      <c r="AD672" t="s">
        <v>74</v>
      </c>
      <c r="AE672" t="s">
        <v>74</v>
      </c>
      <c r="AF672" t="s">
        <v>74</v>
      </c>
      <c r="AG672">
        <v>14</v>
      </c>
      <c r="AH672">
        <v>5</v>
      </c>
      <c r="AI672">
        <v>5</v>
      </c>
      <c r="AJ672">
        <v>0</v>
      </c>
      <c r="AK672">
        <v>1</v>
      </c>
      <c r="AL672" t="s">
        <v>4130</v>
      </c>
      <c r="AM672" t="s">
        <v>4131</v>
      </c>
      <c r="AN672" t="s">
        <v>4132</v>
      </c>
      <c r="AO672" t="s">
        <v>4133</v>
      </c>
      <c r="AP672" t="s">
        <v>74</v>
      </c>
      <c r="AQ672" t="s">
        <v>74</v>
      </c>
      <c r="AR672" t="s">
        <v>4134</v>
      </c>
      <c r="AS672" t="s">
        <v>4135</v>
      </c>
      <c r="AT672" t="s">
        <v>8636</v>
      </c>
      <c r="AU672">
        <v>1999</v>
      </c>
      <c r="AV672">
        <v>42</v>
      </c>
      <c r="AW672">
        <v>2</v>
      </c>
      <c r="AX672" t="s">
        <v>74</v>
      </c>
      <c r="AY672" t="s">
        <v>74</v>
      </c>
      <c r="AZ672" t="s">
        <v>74</v>
      </c>
      <c r="BA672" t="s">
        <v>74</v>
      </c>
      <c r="BB672">
        <v>265</v>
      </c>
      <c r="BC672">
        <v>270</v>
      </c>
      <c r="BD672" t="s">
        <v>74</v>
      </c>
      <c r="BE672" t="s">
        <v>74</v>
      </c>
      <c r="BF672" t="s">
        <v>74</v>
      </c>
      <c r="BG672" t="s">
        <v>74</v>
      </c>
      <c r="BH672" t="s">
        <v>74</v>
      </c>
      <c r="BI672">
        <v>6</v>
      </c>
      <c r="BJ672" t="s">
        <v>216</v>
      </c>
      <c r="BK672" t="s">
        <v>96</v>
      </c>
      <c r="BL672" t="s">
        <v>216</v>
      </c>
      <c r="BM672" t="s">
        <v>8698</v>
      </c>
      <c r="BN672" t="s">
        <v>74</v>
      </c>
      <c r="BO672" t="s">
        <v>74</v>
      </c>
      <c r="BP672" t="s">
        <v>74</v>
      </c>
      <c r="BQ672" t="s">
        <v>74</v>
      </c>
      <c r="BR672" t="s">
        <v>99</v>
      </c>
      <c r="BS672" t="s">
        <v>8764</v>
      </c>
      <c r="BT672" t="str">
        <f>HYPERLINK("https%3A%2F%2Fwww.webofscience.com%2Fwos%2Fwoscc%2Ffull-record%2FWOS:000080763400012","View Full Record in Web of Science")</f>
        <v>View Full Record in Web of Science</v>
      </c>
    </row>
    <row r="673" spans="1:72" x14ac:dyDescent="0.15">
      <c r="A673" t="s">
        <v>72</v>
      </c>
      <c r="B673" t="s">
        <v>8765</v>
      </c>
      <c r="C673" t="s">
        <v>74</v>
      </c>
      <c r="D673" t="s">
        <v>74</v>
      </c>
      <c r="E673" t="s">
        <v>74</v>
      </c>
      <c r="F673" t="s">
        <v>8765</v>
      </c>
      <c r="G673" t="s">
        <v>74</v>
      </c>
      <c r="H673" t="s">
        <v>74</v>
      </c>
      <c r="I673" t="s">
        <v>8766</v>
      </c>
      <c r="J673" t="s">
        <v>4123</v>
      </c>
      <c r="K673" t="s">
        <v>74</v>
      </c>
      <c r="L673" t="s">
        <v>74</v>
      </c>
      <c r="M673" t="s">
        <v>77</v>
      </c>
      <c r="N673" t="s">
        <v>78</v>
      </c>
      <c r="O673" t="s">
        <v>74</v>
      </c>
      <c r="P673" t="s">
        <v>74</v>
      </c>
      <c r="Q673" t="s">
        <v>74</v>
      </c>
      <c r="R673" t="s">
        <v>74</v>
      </c>
      <c r="S673" t="s">
        <v>74</v>
      </c>
      <c r="T673" t="s">
        <v>8767</v>
      </c>
      <c r="U673" t="s">
        <v>74</v>
      </c>
      <c r="V673" t="s">
        <v>8768</v>
      </c>
      <c r="W673" t="s">
        <v>8769</v>
      </c>
      <c r="X673" t="s">
        <v>8770</v>
      </c>
      <c r="Y673" t="s">
        <v>8771</v>
      </c>
      <c r="Z673" t="s">
        <v>74</v>
      </c>
      <c r="AA673" t="s">
        <v>8772</v>
      </c>
      <c r="AB673" t="s">
        <v>8773</v>
      </c>
      <c r="AC673" t="s">
        <v>74</v>
      </c>
      <c r="AD673" t="s">
        <v>74</v>
      </c>
      <c r="AE673" t="s">
        <v>74</v>
      </c>
      <c r="AF673" t="s">
        <v>74</v>
      </c>
      <c r="AG673">
        <v>5</v>
      </c>
      <c r="AH673">
        <v>19</v>
      </c>
      <c r="AI673">
        <v>20</v>
      </c>
      <c r="AJ673">
        <v>1</v>
      </c>
      <c r="AK673">
        <v>8</v>
      </c>
      <c r="AL673" t="s">
        <v>4130</v>
      </c>
      <c r="AM673" t="s">
        <v>4131</v>
      </c>
      <c r="AN673" t="s">
        <v>4132</v>
      </c>
      <c r="AO673" t="s">
        <v>4133</v>
      </c>
      <c r="AP673" t="s">
        <v>74</v>
      </c>
      <c r="AQ673" t="s">
        <v>74</v>
      </c>
      <c r="AR673" t="s">
        <v>4134</v>
      </c>
      <c r="AS673" t="s">
        <v>4135</v>
      </c>
      <c r="AT673" t="s">
        <v>8636</v>
      </c>
      <c r="AU673">
        <v>1999</v>
      </c>
      <c r="AV673">
        <v>42</v>
      </c>
      <c r="AW673">
        <v>2</v>
      </c>
      <c r="AX673" t="s">
        <v>74</v>
      </c>
      <c r="AY673" t="s">
        <v>74</v>
      </c>
      <c r="AZ673" t="s">
        <v>74</v>
      </c>
      <c r="BA673" t="s">
        <v>74</v>
      </c>
      <c r="BB673">
        <v>271</v>
      </c>
      <c r="BC673">
        <v>276</v>
      </c>
      <c r="BD673" t="s">
        <v>74</v>
      </c>
      <c r="BE673" t="s">
        <v>74</v>
      </c>
      <c r="BF673" t="s">
        <v>74</v>
      </c>
      <c r="BG673" t="s">
        <v>74</v>
      </c>
      <c r="BH673" t="s">
        <v>74</v>
      </c>
      <c r="BI673">
        <v>6</v>
      </c>
      <c r="BJ673" t="s">
        <v>216</v>
      </c>
      <c r="BK673" t="s">
        <v>96</v>
      </c>
      <c r="BL673" t="s">
        <v>216</v>
      </c>
      <c r="BM673" t="s">
        <v>8698</v>
      </c>
      <c r="BN673" t="s">
        <v>74</v>
      </c>
      <c r="BO673" t="s">
        <v>74</v>
      </c>
      <c r="BP673" t="s">
        <v>74</v>
      </c>
      <c r="BQ673" t="s">
        <v>74</v>
      </c>
      <c r="BR673" t="s">
        <v>99</v>
      </c>
      <c r="BS673" t="s">
        <v>8774</v>
      </c>
      <c r="BT673" t="str">
        <f>HYPERLINK("https%3A%2F%2Fwww.webofscience.com%2Fwos%2Fwoscc%2Ffull-record%2FWOS:000080763400013","View Full Record in Web of Science")</f>
        <v>View Full Record in Web of Science</v>
      </c>
    </row>
    <row r="674" spans="1:72" x14ac:dyDescent="0.15">
      <c r="A674" t="s">
        <v>72</v>
      </c>
      <c r="B674" t="s">
        <v>8775</v>
      </c>
      <c r="C674" t="s">
        <v>74</v>
      </c>
      <c r="D674" t="s">
        <v>74</v>
      </c>
      <c r="E674" t="s">
        <v>74</v>
      </c>
      <c r="F674" t="s">
        <v>8775</v>
      </c>
      <c r="G674" t="s">
        <v>74</v>
      </c>
      <c r="H674" t="s">
        <v>74</v>
      </c>
      <c r="I674" t="s">
        <v>8776</v>
      </c>
      <c r="J674" t="s">
        <v>4123</v>
      </c>
      <c r="K674" t="s">
        <v>74</v>
      </c>
      <c r="L674" t="s">
        <v>74</v>
      </c>
      <c r="M674" t="s">
        <v>77</v>
      </c>
      <c r="N674" t="s">
        <v>78</v>
      </c>
      <c r="O674" t="s">
        <v>74</v>
      </c>
      <c r="P674" t="s">
        <v>74</v>
      </c>
      <c r="Q674" t="s">
        <v>74</v>
      </c>
      <c r="R674" t="s">
        <v>74</v>
      </c>
      <c r="S674" t="s">
        <v>74</v>
      </c>
      <c r="T674" t="s">
        <v>8777</v>
      </c>
      <c r="U674" t="s">
        <v>8778</v>
      </c>
      <c r="V674" t="s">
        <v>8779</v>
      </c>
      <c r="W674" t="s">
        <v>8780</v>
      </c>
      <c r="X674" t="s">
        <v>8781</v>
      </c>
      <c r="Y674" t="s">
        <v>8782</v>
      </c>
      <c r="Z674" t="s">
        <v>74</v>
      </c>
      <c r="AA674" t="s">
        <v>74</v>
      </c>
      <c r="AB674" t="s">
        <v>482</v>
      </c>
      <c r="AC674" t="s">
        <v>74</v>
      </c>
      <c r="AD674" t="s">
        <v>74</v>
      </c>
      <c r="AE674" t="s">
        <v>74</v>
      </c>
      <c r="AF674" t="s">
        <v>74</v>
      </c>
      <c r="AG674">
        <v>25</v>
      </c>
      <c r="AH674">
        <v>8</v>
      </c>
      <c r="AI674">
        <v>9</v>
      </c>
      <c r="AJ674">
        <v>0</v>
      </c>
      <c r="AK674">
        <v>2</v>
      </c>
      <c r="AL674" t="s">
        <v>4130</v>
      </c>
      <c r="AM674" t="s">
        <v>4131</v>
      </c>
      <c r="AN674" t="s">
        <v>4132</v>
      </c>
      <c r="AO674" t="s">
        <v>4133</v>
      </c>
      <c r="AP674" t="s">
        <v>74</v>
      </c>
      <c r="AQ674" t="s">
        <v>74</v>
      </c>
      <c r="AR674" t="s">
        <v>4134</v>
      </c>
      <c r="AS674" t="s">
        <v>4135</v>
      </c>
      <c r="AT674" t="s">
        <v>8636</v>
      </c>
      <c r="AU674">
        <v>1999</v>
      </c>
      <c r="AV674">
        <v>42</v>
      </c>
      <c r="AW674">
        <v>2</v>
      </c>
      <c r="AX674" t="s">
        <v>74</v>
      </c>
      <c r="AY674" t="s">
        <v>74</v>
      </c>
      <c r="AZ674" t="s">
        <v>74</v>
      </c>
      <c r="BA674" t="s">
        <v>74</v>
      </c>
      <c r="BB674">
        <v>277</v>
      </c>
      <c r="BC674">
        <v>292</v>
      </c>
      <c r="BD674" t="s">
        <v>74</v>
      </c>
      <c r="BE674" t="s">
        <v>74</v>
      </c>
      <c r="BF674" t="s">
        <v>74</v>
      </c>
      <c r="BG674" t="s">
        <v>74</v>
      </c>
      <c r="BH674" t="s">
        <v>74</v>
      </c>
      <c r="BI674">
        <v>16</v>
      </c>
      <c r="BJ674" t="s">
        <v>216</v>
      </c>
      <c r="BK674" t="s">
        <v>96</v>
      </c>
      <c r="BL674" t="s">
        <v>216</v>
      </c>
      <c r="BM674" t="s">
        <v>8698</v>
      </c>
      <c r="BN674" t="s">
        <v>74</v>
      </c>
      <c r="BO674" t="s">
        <v>74</v>
      </c>
      <c r="BP674" t="s">
        <v>74</v>
      </c>
      <c r="BQ674" t="s">
        <v>74</v>
      </c>
      <c r="BR674" t="s">
        <v>99</v>
      </c>
      <c r="BS674" t="s">
        <v>8783</v>
      </c>
      <c r="BT674" t="str">
        <f>HYPERLINK("https%3A%2F%2Fwww.webofscience.com%2Fwos%2Fwoscc%2Ffull-record%2FWOS:000080763400014","View Full Record in Web of Science")</f>
        <v>View Full Record in Web of Science</v>
      </c>
    </row>
    <row r="675" spans="1:72" x14ac:dyDescent="0.15">
      <c r="A675" t="s">
        <v>72</v>
      </c>
      <c r="B675" t="s">
        <v>8784</v>
      </c>
      <c r="C675" t="s">
        <v>74</v>
      </c>
      <c r="D675" t="s">
        <v>74</v>
      </c>
      <c r="E675" t="s">
        <v>74</v>
      </c>
      <c r="F675" t="s">
        <v>8784</v>
      </c>
      <c r="G675" t="s">
        <v>74</v>
      </c>
      <c r="H675" t="s">
        <v>74</v>
      </c>
      <c r="I675" t="s">
        <v>8785</v>
      </c>
      <c r="J675" t="s">
        <v>4123</v>
      </c>
      <c r="K675" t="s">
        <v>74</v>
      </c>
      <c r="L675" t="s">
        <v>74</v>
      </c>
      <c r="M675" t="s">
        <v>77</v>
      </c>
      <c r="N675" t="s">
        <v>78</v>
      </c>
      <c r="O675" t="s">
        <v>74</v>
      </c>
      <c r="P675" t="s">
        <v>74</v>
      </c>
      <c r="Q675" t="s">
        <v>74</v>
      </c>
      <c r="R675" t="s">
        <v>74</v>
      </c>
      <c r="S675" t="s">
        <v>74</v>
      </c>
      <c r="T675" t="s">
        <v>8786</v>
      </c>
      <c r="U675" t="s">
        <v>8787</v>
      </c>
      <c r="V675" t="s">
        <v>8788</v>
      </c>
      <c r="W675" t="s">
        <v>8789</v>
      </c>
      <c r="X675" t="s">
        <v>8790</v>
      </c>
      <c r="Y675" t="s">
        <v>8791</v>
      </c>
      <c r="Z675" t="s">
        <v>74</v>
      </c>
      <c r="AA675" t="s">
        <v>74</v>
      </c>
      <c r="AB675" t="s">
        <v>74</v>
      </c>
      <c r="AC675" t="s">
        <v>74</v>
      </c>
      <c r="AD675" t="s">
        <v>74</v>
      </c>
      <c r="AE675" t="s">
        <v>74</v>
      </c>
      <c r="AF675" t="s">
        <v>74</v>
      </c>
      <c r="AG675">
        <v>40</v>
      </c>
      <c r="AH675">
        <v>10</v>
      </c>
      <c r="AI675">
        <v>10</v>
      </c>
      <c r="AJ675">
        <v>1</v>
      </c>
      <c r="AK675">
        <v>4</v>
      </c>
      <c r="AL675" t="s">
        <v>4130</v>
      </c>
      <c r="AM675" t="s">
        <v>4131</v>
      </c>
      <c r="AN675" t="s">
        <v>4132</v>
      </c>
      <c r="AO675" t="s">
        <v>4133</v>
      </c>
      <c r="AP675" t="s">
        <v>74</v>
      </c>
      <c r="AQ675" t="s">
        <v>74</v>
      </c>
      <c r="AR675" t="s">
        <v>4134</v>
      </c>
      <c r="AS675" t="s">
        <v>4135</v>
      </c>
      <c r="AT675" t="s">
        <v>8636</v>
      </c>
      <c r="AU675">
        <v>1999</v>
      </c>
      <c r="AV675">
        <v>42</v>
      </c>
      <c r="AW675">
        <v>2</v>
      </c>
      <c r="AX675" t="s">
        <v>74</v>
      </c>
      <c r="AY675" t="s">
        <v>74</v>
      </c>
      <c r="AZ675" t="s">
        <v>74</v>
      </c>
      <c r="BA675" t="s">
        <v>74</v>
      </c>
      <c r="BB675">
        <v>293</v>
      </c>
      <c r="BC675">
        <v>307</v>
      </c>
      <c r="BD675" t="s">
        <v>74</v>
      </c>
      <c r="BE675" t="s">
        <v>74</v>
      </c>
      <c r="BF675" t="s">
        <v>74</v>
      </c>
      <c r="BG675" t="s">
        <v>74</v>
      </c>
      <c r="BH675" t="s">
        <v>74</v>
      </c>
      <c r="BI675">
        <v>15</v>
      </c>
      <c r="BJ675" t="s">
        <v>216</v>
      </c>
      <c r="BK675" t="s">
        <v>96</v>
      </c>
      <c r="BL675" t="s">
        <v>216</v>
      </c>
      <c r="BM675" t="s">
        <v>8698</v>
      </c>
      <c r="BN675" t="s">
        <v>74</v>
      </c>
      <c r="BO675" t="s">
        <v>74</v>
      </c>
      <c r="BP675" t="s">
        <v>74</v>
      </c>
      <c r="BQ675" t="s">
        <v>74</v>
      </c>
      <c r="BR675" t="s">
        <v>99</v>
      </c>
      <c r="BS675" t="s">
        <v>8792</v>
      </c>
      <c r="BT675" t="str">
        <f>HYPERLINK("https%3A%2F%2Fwww.webofscience.com%2Fwos%2Fwoscc%2Ffull-record%2FWOS:000080763400015","View Full Record in Web of Science")</f>
        <v>View Full Record in Web of Science</v>
      </c>
    </row>
    <row r="676" spans="1:72" x14ac:dyDescent="0.15">
      <c r="A676" t="s">
        <v>72</v>
      </c>
      <c r="B676" t="s">
        <v>8793</v>
      </c>
      <c r="C676" t="s">
        <v>74</v>
      </c>
      <c r="D676" t="s">
        <v>74</v>
      </c>
      <c r="E676" t="s">
        <v>74</v>
      </c>
      <c r="F676" t="s">
        <v>8793</v>
      </c>
      <c r="G676" t="s">
        <v>74</v>
      </c>
      <c r="H676" t="s">
        <v>74</v>
      </c>
      <c r="I676" t="s">
        <v>8794</v>
      </c>
      <c r="J676" t="s">
        <v>4123</v>
      </c>
      <c r="K676" t="s">
        <v>74</v>
      </c>
      <c r="L676" t="s">
        <v>74</v>
      </c>
      <c r="M676" t="s">
        <v>77</v>
      </c>
      <c r="N676" t="s">
        <v>78</v>
      </c>
      <c r="O676" t="s">
        <v>74</v>
      </c>
      <c r="P676" t="s">
        <v>74</v>
      </c>
      <c r="Q676" t="s">
        <v>74</v>
      </c>
      <c r="R676" t="s">
        <v>74</v>
      </c>
      <c r="S676" t="s">
        <v>74</v>
      </c>
      <c r="T676" t="s">
        <v>8795</v>
      </c>
      <c r="U676" t="s">
        <v>8796</v>
      </c>
      <c r="V676" t="s">
        <v>8797</v>
      </c>
      <c r="W676" t="s">
        <v>8798</v>
      </c>
      <c r="X676" t="s">
        <v>8799</v>
      </c>
      <c r="Y676" t="s">
        <v>8791</v>
      </c>
      <c r="Z676" t="s">
        <v>74</v>
      </c>
      <c r="AA676" t="s">
        <v>8738</v>
      </c>
      <c r="AB676" t="s">
        <v>8739</v>
      </c>
      <c r="AC676" t="s">
        <v>74</v>
      </c>
      <c r="AD676" t="s">
        <v>74</v>
      </c>
      <c r="AE676" t="s">
        <v>74</v>
      </c>
      <c r="AF676" t="s">
        <v>74</v>
      </c>
      <c r="AG676">
        <v>42</v>
      </c>
      <c r="AH676">
        <v>14</v>
      </c>
      <c r="AI676">
        <v>14</v>
      </c>
      <c r="AJ676">
        <v>0</v>
      </c>
      <c r="AK676">
        <v>1</v>
      </c>
      <c r="AL676" t="s">
        <v>4130</v>
      </c>
      <c r="AM676" t="s">
        <v>4131</v>
      </c>
      <c r="AN676" t="s">
        <v>4132</v>
      </c>
      <c r="AO676" t="s">
        <v>4133</v>
      </c>
      <c r="AP676" t="s">
        <v>74</v>
      </c>
      <c r="AQ676" t="s">
        <v>74</v>
      </c>
      <c r="AR676" t="s">
        <v>4134</v>
      </c>
      <c r="AS676" t="s">
        <v>4135</v>
      </c>
      <c r="AT676" t="s">
        <v>8636</v>
      </c>
      <c r="AU676">
        <v>1999</v>
      </c>
      <c r="AV676">
        <v>42</v>
      </c>
      <c r="AW676">
        <v>2</v>
      </c>
      <c r="AX676" t="s">
        <v>74</v>
      </c>
      <c r="AY676" t="s">
        <v>74</v>
      </c>
      <c r="AZ676" t="s">
        <v>74</v>
      </c>
      <c r="BA676" t="s">
        <v>74</v>
      </c>
      <c r="BB676">
        <v>309</v>
      </c>
      <c r="BC676">
        <v>326</v>
      </c>
      <c r="BD676" t="s">
        <v>74</v>
      </c>
      <c r="BE676" t="s">
        <v>74</v>
      </c>
      <c r="BF676" t="s">
        <v>74</v>
      </c>
      <c r="BG676" t="s">
        <v>74</v>
      </c>
      <c r="BH676" t="s">
        <v>74</v>
      </c>
      <c r="BI676">
        <v>18</v>
      </c>
      <c r="BJ676" t="s">
        <v>216</v>
      </c>
      <c r="BK676" t="s">
        <v>96</v>
      </c>
      <c r="BL676" t="s">
        <v>216</v>
      </c>
      <c r="BM676" t="s">
        <v>8698</v>
      </c>
      <c r="BN676" t="s">
        <v>74</v>
      </c>
      <c r="BO676" t="s">
        <v>74</v>
      </c>
      <c r="BP676" t="s">
        <v>74</v>
      </c>
      <c r="BQ676" t="s">
        <v>74</v>
      </c>
      <c r="BR676" t="s">
        <v>99</v>
      </c>
      <c r="BS676" t="s">
        <v>8800</v>
      </c>
      <c r="BT676" t="str">
        <f>HYPERLINK("https%3A%2F%2Fwww.webofscience.com%2Fwos%2Fwoscc%2Ffull-record%2FWOS:000080763400016","View Full Record in Web of Science")</f>
        <v>View Full Record in Web of Science</v>
      </c>
    </row>
    <row r="677" spans="1:72" x14ac:dyDescent="0.15">
      <c r="A677" t="s">
        <v>72</v>
      </c>
      <c r="B677" t="s">
        <v>8801</v>
      </c>
      <c r="C677" t="s">
        <v>74</v>
      </c>
      <c r="D677" t="s">
        <v>74</v>
      </c>
      <c r="E677" t="s">
        <v>74</v>
      </c>
      <c r="F677" t="s">
        <v>8801</v>
      </c>
      <c r="G677" t="s">
        <v>74</v>
      </c>
      <c r="H677" t="s">
        <v>74</v>
      </c>
      <c r="I677" t="s">
        <v>8802</v>
      </c>
      <c r="J677" t="s">
        <v>4123</v>
      </c>
      <c r="K677" t="s">
        <v>74</v>
      </c>
      <c r="L677" t="s">
        <v>74</v>
      </c>
      <c r="M677" t="s">
        <v>77</v>
      </c>
      <c r="N677" t="s">
        <v>78</v>
      </c>
      <c r="O677" t="s">
        <v>74</v>
      </c>
      <c r="P677" t="s">
        <v>74</v>
      </c>
      <c r="Q677" t="s">
        <v>74</v>
      </c>
      <c r="R677" t="s">
        <v>74</v>
      </c>
      <c r="S677" t="s">
        <v>74</v>
      </c>
      <c r="T677" t="s">
        <v>8803</v>
      </c>
      <c r="U677" t="s">
        <v>8804</v>
      </c>
      <c r="V677" t="s">
        <v>8805</v>
      </c>
      <c r="W677" t="s">
        <v>8806</v>
      </c>
      <c r="X677" t="s">
        <v>74</v>
      </c>
      <c r="Y677" t="s">
        <v>8807</v>
      </c>
      <c r="Z677" t="s">
        <v>8808</v>
      </c>
      <c r="AA677" t="s">
        <v>74</v>
      </c>
      <c r="AB677" t="s">
        <v>74</v>
      </c>
      <c r="AC677" t="s">
        <v>74</v>
      </c>
      <c r="AD677" t="s">
        <v>74</v>
      </c>
      <c r="AE677" t="s">
        <v>74</v>
      </c>
      <c r="AF677" t="s">
        <v>74</v>
      </c>
      <c r="AG677">
        <v>35</v>
      </c>
      <c r="AH677">
        <v>3</v>
      </c>
      <c r="AI677">
        <v>3</v>
      </c>
      <c r="AJ677">
        <v>0</v>
      </c>
      <c r="AK677">
        <v>0</v>
      </c>
      <c r="AL677" t="s">
        <v>4130</v>
      </c>
      <c r="AM677" t="s">
        <v>4131</v>
      </c>
      <c r="AN677" t="s">
        <v>4132</v>
      </c>
      <c r="AO677" t="s">
        <v>8809</v>
      </c>
      <c r="AP677" t="s">
        <v>74</v>
      </c>
      <c r="AQ677" t="s">
        <v>74</v>
      </c>
      <c r="AR677" t="s">
        <v>4134</v>
      </c>
      <c r="AS677" t="s">
        <v>4135</v>
      </c>
      <c r="AT677" t="s">
        <v>8636</v>
      </c>
      <c r="AU677">
        <v>1999</v>
      </c>
      <c r="AV677">
        <v>42</v>
      </c>
      <c r="AW677">
        <v>2</v>
      </c>
      <c r="AX677" t="s">
        <v>74</v>
      </c>
      <c r="AY677" t="s">
        <v>74</v>
      </c>
      <c r="AZ677" t="s">
        <v>74</v>
      </c>
      <c r="BA677" t="s">
        <v>74</v>
      </c>
      <c r="BB677">
        <v>333</v>
      </c>
      <c r="BC677">
        <v>351</v>
      </c>
      <c r="BD677" t="s">
        <v>74</v>
      </c>
      <c r="BE677" t="s">
        <v>74</v>
      </c>
      <c r="BF677" t="s">
        <v>74</v>
      </c>
      <c r="BG677" t="s">
        <v>74</v>
      </c>
      <c r="BH677" t="s">
        <v>74</v>
      </c>
      <c r="BI677">
        <v>19</v>
      </c>
      <c r="BJ677" t="s">
        <v>216</v>
      </c>
      <c r="BK677" t="s">
        <v>96</v>
      </c>
      <c r="BL677" t="s">
        <v>216</v>
      </c>
      <c r="BM677" t="s">
        <v>8698</v>
      </c>
      <c r="BN677" t="s">
        <v>74</v>
      </c>
      <c r="BO677" t="s">
        <v>74</v>
      </c>
      <c r="BP677" t="s">
        <v>74</v>
      </c>
      <c r="BQ677" t="s">
        <v>74</v>
      </c>
      <c r="BR677" t="s">
        <v>99</v>
      </c>
      <c r="BS677" t="s">
        <v>8810</v>
      </c>
      <c r="BT677" t="str">
        <f>HYPERLINK("https%3A%2F%2Fwww.webofscience.com%2Fwos%2Fwoscc%2Ffull-record%2FWOS:000080763400018","View Full Record in Web of Science")</f>
        <v>View Full Record in Web of Science</v>
      </c>
    </row>
    <row r="678" spans="1:72" x14ac:dyDescent="0.15">
      <c r="A678" t="s">
        <v>72</v>
      </c>
      <c r="B678" t="s">
        <v>8811</v>
      </c>
      <c r="C678" t="s">
        <v>74</v>
      </c>
      <c r="D678" t="s">
        <v>74</v>
      </c>
      <c r="E678" t="s">
        <v>74</v>
      </c>
      <c r="F678" t="s">
        <v>8811</v>
      </c>
      <c r="G678" t="s">
        <v>74</v>
      </c>
      <c r="H678" t="s">
        <v>74</v>
      </c>
      <c r="I678" t="s">
        <v>8812</v>
      </c>
      <c r="J678" t="s">
        <v>7737</v>
      </c>
      <c r="K678" t="s">
        <v>74</v>
      </c>
      <c r="L678" t="s">
        <v>74</v>
      </c>
      <c r="M678" t="s">
        <v>77</v>
      </c>
      <c r="N678" t="s">
        <v>78</v>
      </c>
      <c r="O678" t="s">
        <v>74</v>
      </c>
      <c r="P678" t="s">
        <v>74</v>
      </c>
      <c r="Q678" t="s">
        <v>74</v>
      </c>
      <c r="R678" t="s">
        <v>74</v>
      </c>
      <c r="S678" t="s">
        <v>74</v>
      </c>
      <c r="T678" t="s">
        <v>8813</v>
      </c>
      <c r="U678" t="s">
        <v>8814</v>
      </c>
      <c r="V678" t="s">
        <v>8815</v>
      </c>
      <c r="W678" t="s">
        <v>8816</v>
      </c>
      <c r="X678" t="s">
        <v>8817</v>
      </c>
      <c r="Y678" t="s">
        <v>8818</v>
      </c>
      <c r="Z678" t="s">
        <v>74</v>
      </c>
      <c r="AA678" t="s">
        <v>74</v>
      </c>
      <c r="AB678" t="s">
        <v>74</v>
      </c>
      <c r="AC678" t="s">
        <v>74</v>
      </c>
      <c r="AD678" t="s">
        <v>74</v>
      </c>
      <c r="AE678" t="s">
        <v>74</v>
      </c>
      <c r="AF678" t="s">
        <v>74</v>
      </c>
      <c r="AG678">
        <v>38</v>
      </c>
      <c r="AH678">
        <v>25</v>
      </c>
      <c r="AI678">
        <v>31</v>
      </c>
      <c r="AJ678">
        <v>1</v>
      </c>
      <c r="AK678">
        <v>14</v>
      </c>
      <c r="AL678" t="s">
        <v>275</v>
      </c>
      <c r="AM678" t="s">
        <v>276</v>
      </c>
      <c r="AN678" t="s">
        <v>277</v>
      </c>
      <c r="AO678" t="s">
        <v>7745</v>
      </c>
      <c r="AP678" t="s">
        <v>74</v>
      </c>
      <c r="AQ678" t="s">
        <v>74</v>
      </c>
      <c r="AR678" t="s">
        <v>7746</v>
      </c>
      <c r="AS678" t="s">
        <v>7747</v>
      </c>
      <c r="AT678" t="s">
        <v>8636</v>
      </c>
      <c r="AU678">
        <v>1999</v>
      </c>
      <c r="AV678">
        <v>33</v>
      </c>
      <c r="AW678">
        <v>9</v>
      </c>
      <c r="AX678" t="s">
        <v>74</v>
      </c>
      <c r="AY678" t="s">
        <v>74</v>
      </c>
      <c r="AZ678" t="s">
        <v>74</v>
      </c>
      <c r="BA678" t="s">
        <v>74</v>
      </c>
      <c r="BB678">
        <v>1457</v>
      </c>
      <c r="BC678">
        <v>1467</v>
      </c>
      <c r="BD678" t="s">
        <v>74</v>
      </c>
      <c r="BE678" t="s">
        <v>8819</v>
      </c>
      <c r="BF678" t="str">
        <f>HYPERLINK("http://dx.doi.org/10.1016/S1352-2310(98)00243-X","http://dx.doi.org/10.1016/S1352-2310(98)00243-X")</f>
        <v>http://dx.doi.org/10.1016/S1352-2310(98)00243-X</v>
      </c>
      <c r="BG678" t="s">
        <v>74</v>
      </c>
      <c r="BH678" t="s">
        <v>74</v>
      </c>
      <c r="BI678">
        <v>11</v>
      </c>
      <c r="BJ678" t="s">
        <v>5561</v>
      </c>
      <c r="BK678" t="s">
        <v>96</v>
      </c>
      <c r="BL678" t="s">
        <v>5562</v>
      </c>
      <c r="BM678" t="s">
        <v>8820</v>
      </c>
      <c r="BN678" t="s">
        <v>74</v>
      </c>
      <c r="BO678" t="s">
        <v>74</v>
      </c>
      <c r="BP678" t="s">
        <v>74</v>
      </c>
      <c r="BQ678" t="s">
        <v>74</v>
      </c>
      <c r="BR678" t="s">
        <v>99</v>
      </c>
      <c r="BS678" t="s">
        <v>8821</v>
      </c>
      <c r="BT678" t="str">
        <f>HYPERLINK("https%3A%2F%2Fwww.webofscience.com%2Fwos%2Fwoscc%2Ffull-record%2FWOS:000078786900010","View Full Record in Web of Science")</f>
        <v>View Full Record in Web of Science</v>
      </c>
    </row>
    <row r="679" spans="1:72" x14ac:dyDescent="0.15">
      <c r="A679" t="s">
        <v>72</v>
      </c>
      <c r="B679" t="s">
        <v>8822</v>
      </c>
      <c r="C679" t="s">
        <v>74</v>
      </c>
      <c r="D679" t="s">
        <v>74</v>
      </c>
      <c r="E679" t="s">
        <v>74</v>
      </c>
      <c r="F679" t="s">
        <v>8822</v>
      </c>
      <c r="G679" t="s">
        <v>74</v>
      </c>
      <c r="H679" t="s">
        <v>74</v>
      </c>
      <c r="I679" t="s">
        <v>8823</v>
      </c>
      <c r="J679" t="s">
        <v>4359</v>
      </c>
      <c r="K679" t="s">
        <v>74</v>
      </c>
      <c r="L679" t="s">
        <v>74</v>
      </c>
      <c r="M679" t="s">
        <v>77</v>
      </c>
      <c r="N679" t="s">
        <v>78</v>
      </c>
      <c r="O679" t="s">
        <v>74</v>
      </c>
      <c r="P679" t="s">
        <v>74</v>
      </c>
      <c r="Q679" t="s">
        <v>74</v>
      </c>
      <c r="R679" t="s">
        <v>74</v>
      </c>
      <c r="S679" t="s">
        <v>74</v>
      </c>
      <c r="T679" t="s">
        <v>8824</v>
      </c>
      <c r="U679" t="s">
        <v>8825</v>
      </c>
      <c r="V679" t="s">
        <v>8826</v>
      </c>
      <c r="W679" t="s">
        <v>8827</v>
      </c>
      <c r="X679" t="s">
        <v>8828</v>
      </c>
      <c r="Y679" t="s">
        <v>8829</v>
      </c>
      <c r="Z679" t="s">
        <v>74</v>
      </c>
      <c r="AA679" t="s">
        <v>74</v>
      </c>
      <c r="AB679" t="s">
        <v>74</v>
      </c>
      <c r="AC679" t="s">
        <v>74</v>
      </c>
      <c r="AD679" t="s">
        <v>74</v>
      </c>
      <c r="AE679" t="s">
        <v>74</v>
      </c>
      <c r="AF679" t="s">
        <v>74</v>
      </c>
      <c r="AG679">
        <v>67</v>
      </c>
      <c r="AH679">
        <v>26</v>
      </c>
      <c r="AI679">
        <v>28</v>
      </c>
      <c r="AJ679">
        <v>2</v>
      </c>
      <c r="AK679">
        <v>32</v>
      </c>
      <c r="AL679" t="s">
        <v>4335</v>
      </c>
      <c r="AM679" t="s">
        <v>4336</v>
      </c>
      <c r="AN679" t="s">
        <v>4337</v>
      </c>
      <c r="AO679" t="s">
        <v>4364</v>
      </c>
      <c r="AP679" t="s">
        <v>74</v>
      </c>
      <c r="AQ679" t="s">
        <v>74</v>
      </c>
      <c r="AR679" t="s">
        <v>4365</v>
      </c>
      <c r="AS679" t="s">
        <v>4366</v>
      </c>
      <c r="AT679" t="s">
        <v>8636</v>
      </c>
      <c r="AU679">
        <v>1999</v>
      </c>
      <c r="AV679">
        <v>24</v>
      </c>
      <c r="AW679">
        <v>2</v>
      </c>
      <c r="AX679" t="s">
        <v>74</v>
      </c>
      <c r="AY679" t="s">
        <v>74</v>
      </c>
      <c r="AZ679" t="s">
        <v>74</v>
      </c>
      <c r="BA679" t="s">
        <v>74</v>
      </c>
      <c r="BB679">
        <v>132</v>
      </c>
      <c r="BC679">
        <v>143</v>
      </c>
      <c r="BD679" t="s">
        <v>74</v>
      </c>
      <c r="BE679" t="s">
        <v>8830</v>
      </c>
      <c r="BF679" t="str">
        <f>HYPERLINK("http://dx.doi.org/10.1046/j.1442-9993.1999.241954.x","http://dx.doi.org/10.1046/j.1442-9993.1999.241954.x")</f>
        <v>http://dx.doi.org/10.1046/j.1442-9993.1999.241954.x</v>
      </c>
      <c r="BG679" t="s">
        <v>74</v>
      </c>
      <c r="BH679" t="s">
        <v>74</v>
      </c>
      <c r="BI679">
        <v>12</v>
      </c>
      <c r="BJ679" t="s">
        <v>868</v>
      </c>
      <c r="BK679" t="s">
        <v>96</v>
      </c>
      <c r="BL679" t="s">
        <v>761</v>
      </c>
      <c r="BM679" t="s">
        <v>8831</v>
      </c>
      <c r="BN679" t="s">
        <v>74</v>
      </c>
      <c r="BO679" t="s">
        <v>74</v>
      </c>
      <c r="BP679" t="s">
        <v>74</v>
      </c>
      <c r="BQ679" t="s">
        <v>74</v>
      </c>
      <c r="BR679" t="s">
        <v>99</v>
      </c>
      <c r="BS679" t="s">
        <v>8832</v>
      </c>
      <c r="BT679" t="str">
        <f>HYPERLINK("https%3A%2F%2Fwww.webofscience.com%2Fwos%2Fwoscc%2Ffull-record%2FWOS:000079671300005","View Full Record in Web of Science")</f>
        <v>View Full Record in Web of Science</v>
      </c>
    </row>
    <row r="680" spans="1:72" x14ac:dyDescent="0.15">
      <c r="A680" t="s">
        <v>72</v>
      </c>
      <c r="B680" t="s">
        <v>8833</v>
      </c>
      <c r="C680" t="s">
        <v>74</v>
      </c>
      <c r="D680" t="s">
        <v>74</v>
      </c>
      <c r="E680" t="s">
        <v>74</v>
      </c>
      <c r="F680" t="s">
        <v>8833</v>
      </c>
      <c r="G680" t="s">
        <v>74</v>
      </c>
      <c r="H680" t="s">
        <v>74</v>
      </c>
      <c r="I680" t="s">
        <v>8834</v>
      </c>
      <c r="J680" t="s">
        <v>1941</v>
      </c>
      <c r="K680" t="s">
        <v>74</v>
      </c>
      <c r="L680" t="s">
        <v>74</v>
      </c>
      <c r="M680" t="s">
        <v>77</v>
      </c>
      <c r="N680" t="s">
        <v>78</v>
      </c>
      <c r="O680" t="s">
        <v>74</v>
      </c>
      <c r="P680" t="s">
        <v>74</v>
      </c>
      <c r="Q680" t="s">
        <v>74</v>
      </c>
      <c r="R680" t="s">
        <v>74</v>
      </c>
      <c r="S680" t="s">
        <v>74</v>
      </c>
      <c r="T680" t="s">
        <v>74</v>
      </c>
      <c r="U680" t="s">
        <v>8835</v>
      </c>
      <c r="V680" t="s">
        <v>8836</v>
      </c>
      <c r="W680" t="s">
        <v>8837</v>
      </c>
      <c r="X680" t="s">
        <v>8838</v>
      </c>
      <c r="Y680" t="s">
        <v>5447</v>
      </c>
      <c r="Z680" t="s">
        <v>8839</v>
      </c>
      <c r="AA680" t="s">
        <v>2462</v>
      </c>
      <c r="AB680" t="s">
        <v>2463</v>
      </c>
      <c r="AC680" t="s">
        <v>74</v>
      </c>
      <c r="AD680" t="s">
        <v>74</v>
      </c>
      <c r="AE680" t="s">
        <v>74</v>
      </c>
      <c r="AF680" t="s">
        <v>74</v>
      </c>
      <c r="AG680">
        <v>20</v>
      </c>
      <c r="AH680">
        <v>23</v>
      </c>
      <c r="AI680">
        <v>23</v>
      </c>
      <c r="AJ680">
        <v>0</v>
      </c>
      <c r="AK680">
        <v>4</v>
      </c>
      <c r="AL680" t="s">
        <v>86</v>
      </c>
      <c r="AM680" t="s">
        <v>87</v>
      </c>
      <c r="AN680" t="s">
        <v>88</v>
      </c>
      <c r="AO680" t="s">
        <v>1948</v>
      </c>
      <c r="AP680" t="s">
        <v>8840</v>
      </c>
      <c r="AQ680" t="s">
        <v>74</v>
      </c>
      <c r="AR680" t="s">
        <v>1949</v>
      </c>
      <c r="AS680" t="s">
        <v>1950</v>
      </c>
      <c r="AT680" t="s">
        <v>8636</v>
      </c>
      <c r="AU680">
        <v>1999</v>
      </c>
      <c r="AV680">
        <v>80</v>
      </c>
      <c r="AW680">
        <v>4</v>
      </c>
      <c r="AX680" t="s">
        <v>74</v>
      </c>
      <c r="AY680" t="s">
        <v>74</v>
      </c>
      <c r="AZ680" t="s">
        <v>74</v>
      </c>
      <c r="BA680" t="s">
        <v>74</v>
      </c>
      <c r="BB680">
        <v>605</v>
      </c>
      <c r="BC680">
        <v>620</v>
      </c>
      <c r="BD680" t="s">
        <v>74</v>
      </c>
      <c r="BE680" t="s">
        <v>8841</v>
      </c>
      <c r="BF680" t="str">
        <f>HYPERLINK("http://dx.doi.org/10.1175/1520-0477(1999)080&lt;0605:MFDAFP&gt;2.0.CO;2","http://dx.doi.org/10.1175/1520-0477(1999)080&lt;0605:MFDAFP&gt;2.0.CO;2")</f>
        <v>http://dx.doi.org/10.1175/1520-0477(1999)080&lt;0605:MFDAFP&gt;2.0.CO;2</v>
      </c>
      <c r="BG680" t="s">
        <v>74</v>
      </c>
      <c r="BH680" t="s">
        <v>74</v>
      </c>
      <c r="BI680">
        <v>16</v>
      </c>
      <c r="BJ680" t="s">
        <v>95</v>
      </c>
      <c r="BK680" t="s">
        <v>96</v>
      </c>
      <c r="BL680" t="s">
        <v>95</v>
      </c>
      <c r="BM680" t="s">
        <v>8842</v>
      </c>
      <c r="BN680" t="s">
        <v>74</v>
      </c>
      <c r="BO680" t="s">
        <v>250</v>
      </c>
      <c r="BP680" t="s">
        <v>74</v>
      </c>
      <c r="BQ680" t="s">
        <v>74</v>
      </c>
      <c r="BR680" t="s">
        <v>99</v>
      </c>
      <c r="BS680" t="s">
        <v>8843</v>
      </c>
      <c r="BT680" t="str">
        <f>HYPERLINK("https%3A%2F%2Fwww.webofscience.com%2Fwos%2Fwoscc%2Ffull-record%2FWOS:000079894800001","View Full Record in Web of Science")</f>
        <v>View Full Record in Web of Science</v>
      </c>
    </row>
    <row r="681" spans="1:72" x14ac:dyDescent="0.15">
      <c r="A681" t="s">
        <v>72</v>
      </c>
      <c r="B681" t="s">
        <v>8844</v>
      </c>
      <c r="C681" t="s">
        <v>74</v>
      </c>
      <c r="D681" t="s">
        <v>74</v>
      </c>
      <c r="E681" t="s">
        <v>74</v>
      </c>
      <c r="F681" t="s">
        <v>8844</v>
      </c>
      <c r="G681" t="s">
        <v>74</v>
      </c>
      <c r="H681" t="s">
        <v>74</v>
      </c>
      <c r="I681" t="s">
        <v>8845</v>
      </c>
      <c r="J681" t="s">
        <v>8846</v>
      </c>
      <c r="K681" t="s">
        <v>74</v>
      </c>
      <c r="L681" t="s">
        <v>74</v>
      </c>
      <c r="M681" t="s">
        <v>77</v>
      </c>
      <c r="N681" t="s">
        <v>78</v>
      </c>
      <c r="O681" t="s">
        <v>74</v>
      </c>
      <c r="P681" t="s">
        <v>74</v>
      </c>
      <c r="Q681" t="s">
        <v>74</v>
      </c>
      <c r="R681" t="s">
        <v>74</v>
      </c>
      <c r="S681" t="s">
        <v>74</v>
      </c>
      <c r="T681" t="s">
        <v>8847</v>
      </c>
      <c r="U681" t="s">
        <v>8848</v>
      </c>
      <c r="V681" t="s">
        <v>8849</v>
      </c>
      <c r="W681" t="s">
        <v>8850</v>
      </c>
      <c r="X681" t="s">
        <v>8851</v>
      </c>
      <c r="Y681" t="s">
        <v>8852</v>
      </c>
      <c r="Z681" t="s">
        <v>74</v>
      </c>
      <c r="AA681" t="s">
        <v>8853</v>
      </c>
      <c r="AB681" t="s">
        <v>8854</v>
      </c>
      <c r="AC681" t="s">
        <v>74</v>
      </c>
      <c r="AD681" t="s">
        <v>74</v>
      </c>
      <c r="AE681" t="s">
        <v>74</v>
      </c>
      <c r="AF681" t="s">
        <v>74</v>
      </c>
      <c r="AG681">
        <v>16</v>
      </c>
      <c r="AH681">
        <v>11</v>
      </c>
      <c r="AI681">
        <v>12</v>
      </c>
      <c r="AJ681">
        <v>1</v>
      </c>
      <c r="AK681">
        <v>18</v>
      </c>
      <c r="AL681" t="s">
        <v>774</v>
      </c>
      <c r="AM681" t="s">
        <v>775</v>
      </c>
      <c r="AN681" t="s">
        <v>776</v>
      </c>
      <c r="AO681" t="s">
        <v>8855</v>
      </c>
      <c r="AP681" t="s">
        <v>74</v>
      </c>
      <c r="AQ681" t="s">
        <v>74</v>
      </c>
      <c r="AR681" t="s">
        <v>8856</v>
      </c>
      <c r="AS681" t="s">
        <v>8857</v>
      </c>
      <c r="AT681" t="s">
        <v>8636</v>
      </c>
      <c r="AU681">
        <v>1999</v>
      </c>
      <c r="AV681">
        <v>44</v>
      </c>
      <c r="AW681">
        <v>8</v>
      </c>
      <c r="AX681" t="s">
        <v>74</v>
      </c>
      <c r="AY681" t="s">
        <v>74</v>
      </c>
      <c r="AZ681" t="s">
        <v>74</v>
      </c>
      <c r="BA681" t="s">
        <v>74</v>
      </c>
      <c r="BB681">
        <v>756</v>
      </c>
      <c r="BC681">
        <v>760</v>
      </c>
      <c r="BD681" t="s">
        <v>74</v>
      </c>
      <c r="BE681" t="s">
        <v>8858</v>
      </c>
      <c r="BF681" t="str">
        <f>HYPERLINK("http://dx.doi.org/10.1007/BF02909720","http://dx.doi.org/10.1007/BF02909720")</f>
        <v>http://dx.doi.org/10.1007/BF02909720</v>
      </c>
      <c r="BG681" t="s">
        <v>74</v>
      </c>
      <c r="BH681" t="s">
        <v>74</v>
      </c>
      <c r="BI681">
        <v>5</v>
      </c>
      <c r="BJ681" t="s">
        <v>303</v>
      </c>
      <c r="BK681" t="s">
        <v>96</v>
      </c>
      <c r="BL681" t="s">
        <v>304</v>
      </c>
      <c r="BM681" t="s">
        <v>8859</v>
      </c>
      <c r="BN681" t="s">
        <v>74</v>
      </c>
      <c r="BO681" t="s">
        <v>74</v>
      </c>
      <c r="BP681" t="s">
        <v>74</v>
      </c>
      <c r="BQ681" t="s">
        <v>74</v>
      </c>
      <c r="BR681" t="s">
        <v>99</v>
      </c>
      <c r="BS681" t="s">
        <v>8860</v>
      </c>
      <c r="BT681" t="str">
        <f>HYPERLINK("https%3A%2F%2Fwww.webofscience.com%2Fwos%2Fwoscc%2Ffull-record%2FWOS:000081216500021","View Full Record in Web of Science")</f>
        <v>View Full Record in Web of Science</v>
      </c>
    </row>
    <row r="682" spans="1:72" x14ac:dyDescent="0.15">
      <c r="A682" t="s">
        <v>72</v>
      </c>
      <c r="B682" t="s">
        <v>8861</v>
      </c>
      <c r="C682" t="s">
        <v>74</v>
      </c>
      <c r="D682" t="s">
        <v>74</v>
      </c>
      <c r="E682" t="s">
        <v>74</v>
      </c>
      <c r="F682" t="s">
        <v>8861</v>
      </c>
      <c r="G682" t="s">
        <v>74</v>
      </c>
      <c r="H682" t="s">
        <v>74</v>
      </c>
      <c r="I682" t="s">
        <v>8862</v>
      </c>
      <c r="J682" t="s">
        <v>3150</v>
      </c>
      <c r="K682" t="s">
        <v>74</v>
      </c>
      <c r="L682" t="s">
        <v>74</v>
      </c>
      <c r="M682" t="s">
        <v>77</v>
      </c>
      <c r="N682" t="s">
        <v>78</v>
      </c>
      <c r="O682" t="s">
        <v>74</v>
      </c>
      <c r="P682" t="s">
        <v>74</v>
      </c>
      <c r="Q682" t="s">
        <v>74</v>
      </c>
      <c r="R682" t="s">
        <v>74</v>
      </c>
      <c r="S682" t="s">
        <v>74</v>
      </c>
      <c r="T682" t="s">
        <v>74</v>
      </c>
      <c r="U682" t="s">
        <v>8863</v>
      </c>
      <c r="V682" t="s">
        <v>8864</v>
      </c>
      <c r="W682" t="s">
        <v>8865</v>
      </c>
      <c r="X682" t="s">
        <v>8866</v>
      </c>
      <c r="Y682" t="s">
        <v>8867</v>
      </c>
      <c r="Z682" t="s">
        <v>8868</v>
      </c>
      <c r="AA682" t="s">
        <v>8869</v>
      </c>
      <c r="AB682" t="s">
        <v>74</v>
      </c>
      <c r="AC682" t="s">
        <v>74</v>
      </c>
      <c r="AD682" t="s">
        <v>74</v>
      </c>
      <c r="AE682" t="s">
        <v>74</v>
      </c>
      <c r="AF682" t="s">
        <v>74</v>
      </c>
      <c r="AG682">
        <v>48</v>
      </c>
      <c r="AH682">
        <v>146</v>
      </c>
      <c r="AI682">
        <v>159</v>
      </c>
      <c r="AJ682">
        <v>0</v>
      </c>
      <c r="AK682">
        <v>22</v>
      </c>
      <c r="AL682" t="s">
        <v>705</v>
      </c>
      <c r="AM682" t="s">
        <v>554</v>
      </c>
      <c r="AN682" t="s">
        <v>706</v>
      </c>
      <c r="AO682" t="s">
        <v>3155</v>
      </c>
      <c r="AP682" t="s">
        <v>8870</v>
      </c>
      <c r="AQ682" t="s">
        <v>74</v>
      </c>
      <c r="AR682" t="s">
        <v>3156</v>
      </c>
      <c r="AS682" t="s">
        <v>3157</v>
      </c>
      <c r="AT682" t="s">
        <v>8636</v>
      </c>
      <c r="AU682">
        <v>1999</v>
      </c>
      <c r="AV682">
        <v>15</v>
      </c>
      <c r="AW682">
        <v>4</v>
      </c>
      <c r="AX682" t="s">
        <v>74</v>
      </c>
      <c r="AY682" t="s">
        <v>74</v>
      </c>
      <c r="AZ682" t="s">
        <v>74</v>
      </c>
      <c r="BA682" t="s">
        <v>74</v>
      </c>
      <c r="BB682">
        <v>251</v>
      </c>
      <c r="BC682">
        <v>268</v>
      </c>
      <c r="BD682" t="s">
        <v>74</v>
      </c>
      <c r="BE682" t="s">
        <v>8871</v>
      </c>
      <c r="BF682" t="str">
        <f>HYPERLINK("http://dx.doi.org/10.1007/s003820050280","http://dx.doi.org/10.1007/s003820050280")</f>
        <v>http://dx.doi.org/10.1007/s003820050280</v>
      </c>
      <c r="BG682" t="s">
        <v>74</v>
      </c>
      <c r="BH682" t="s">
        <v>74</v>
      </c>
      <c r="BI682">
        <v>18</v>
      </c>
      <c r="BJ682" t="s">
        <v>95</v>
      </c>
      <c r="BK682" t="s">
        <v>96</v>
      </c>
      <c r="BL682" t="s">
        <v>95</v>
      </c>
      <c r="BM682" t="s">
        <v>8872</v>
      </c>
      <c r="BN682" t="s">
        <v>74</v>
      </c>
      <c r="BO682" t="s">
        <v>74</v>
      </c>
      <c r="BP682" t="s">
        <v>74</v>
      </c>
      <c r="BQ682" t="s">
        <v>74</v>
      </c>
      <c r="BR682" t="s">
        <v>99</v>
      </c>
      <c r="BS682" t="s">
        <v>8873</v>
      </c>
      <c r="BT682" t="str">
        <f>HYPERLINK("https%3A%2F%2Fwww.webofscience.com%2Fwos%2Fwoscc%2Ffull-record%2FWOS:000079867400002","View Full Record in Web of Science")</f>
        <v>View Full Record in Web of Science</v>
      </c>
    </row>
    <row r="683" spans="1:72" x14ac:dyDescent="0.15">
      <c r="A683" t="s">
        <v>72</v>
      </c>
      <c r="B683" t="s">
        <v>8874</v>
      </c>
      <c r="C683" t="s">
        <v>74</v>
      </c>
      <c r="D683" t="s">
        <v>74</v>
      </c>
      <c r="E683" t="s">
        <v>74</v>
      </c>
      <c r="F683" t="s">
        <v>8874</v>
      </c>
      <c r="G683" t="s">
        <v>74</v>
      </c>
      <c r="H683" t="s">
        <v>74</v>
      </c>
      <c r="I683" t="s">
        <v>8875</v>
      </c>
      <c r="J683" t="s">
        <v>4421</v>
      </c>
      <c r="K683" t="s">
        <v>74</v>
      </c>
      <c r="L683" t="s">
        <v>74</v>
      </c>
      <c r="M683" t="s">
        <v>77</v>
      </c>
      <c r="N683" t="s">
        <v>78</v>
      </c>
      <c r="O683" t="s">
        <v>74</v>
      </c>
      <c r="P683" t="s">
        <v>74</v>
      </c>
      <c r="Q683" t="s">
        <v>74</v>
      </c>
      <c r="R683" t="s">
        <v>74</v>
      </c>
      <c r="S683" t="s">
        <v>74</v>
      </c>
      <c r="T683" t="s">
        <v>8876</v>
      </c>
      <c r="U683" t="s">
        <v>8877</v>
      </c>
      <c r="V683" t="s">
        <v>8878</v>
      </c>
      <c r="W683" t="s">
        <v>8879</v>
      </c>
      <c r="X683" t="s">
        <v>4743</v>
      </c>
      <c r="Y683" t="s">
        <v>8880</v>
      </c>
      <c r="Z683" t="s">
        <v>74</v>
      </c>
      <c r="AA683" t="s">
        <v>8881</v>
      </c>
      <c r="AB683" t="s">
        <v>8882</v>
      </c>
      <c r="AC683" t="s">
        <v>74</v>
      </c>
      <c r="AD683" t="s">
        <v>74</v>
      </c>
      <c r="AE683" t="s">
        <v>74</v>
      </c>
      <c r="AF683" t="s">
        <v>74</v>
      </c>
      <c r="AG683">
        <v>23</v>
      </c>
      <c r="AH683">
        <v>34</v>
      </c>
      <c r="AI683">
        <v>49</v>
      </c>
      <c r="AJ683">
        <v>1</v>
      </c>
      <c r="AK683">
        <v>9</v>
      </c>
      <c r="AL683" t="s">
        <v>210</v>
      </c>
      <c r="AM683" t="s">
        <v>211</v>
      </c>
      <c r="AN683" t="s">
        <v>212</v>
      </c>
      <c r="AO683" t="s">
        <v>4431</v>
      </c>
      <c r="AP683" t="s">
        <v>74</v>
      </c>
      <c r="AQ683" t="s">
        <v>74</v>
      </c>
      <c r="AR683" t="s">
        <v>4432</v>
      </c>
      <c r="AS683" t="s">
        <v>4433</v>
      </c>
      <c r="AT683" t="s">
        <v>8636</v>
      </c>
      <c r="AU683">
        <v>1999</v>
      </c>
      <c r="AV683">
        <v>29</v>
      </c>
      <c r="AW683">
        <v>1</v>
      </c>
      <c r="AX683" t="s">
        <v>74</v>
      </c>
      <c r="AY683" t="s">
        <v>74</v>
      </c>
      <c r="AZ683" t="s">
        <v>74</v>
      </c>
      <c r="BA683" t="s">
        <v>74</v>
      </c>
      <c r="BB683">
        <v>49</v>
      </c>
      <c r="BC683">
        <v>58</v>
      </c>
      <c r="BD683" t="s">
        <v>74</v>
      </c>
      <c r="BE683" t="s">
        <v>8883</v>
      </c>
      <c r="BF683" t="str">
        <f>HYPERLINK("http://dx.doi.org/10.1016/S0165-232X(99)00003-8","http://dx.doi.org/10.1016/S0165-232X(99)00003-8")</f>
        <v>http://dx.doi.org/10.1016/S0165-232X(99)00003-8</v>
      </c>
      <c r="BG683" t="s">
        <v>74</v>
      </c>
      <c r="BH683" t="s">
        <v>74</v>
      </c>
      <c r="BI683">
        <v>10</v>
      </c>
      <c r="BJ683" t="s">
        <v>4435</v>
      </c>
      <c r="BK683" t="s">
        <v>96</v>
      </c>
      <c r="BL683" t="s">
        <v>4436</v>
      </c>
      <c r="BM683" t="s">
        <v>8884</v>
      </c>
      <c r="BN683" t="s">
        <v>74</v>
      </c>
      <c r="BO683" t="s">
        <v>74</v>
      </c>
      <c r="BP683" t="s">
        <v>74</v>
      </c>
      <c r="BQ683" t="s">
        <v>74</v>
      </c>
      <c r="BR683" t="s">
        <v>99</v>
      </c>
      <c r="BS683" t="s">
        <v>8885</v>
      </c>
      <c r="BT683" t="str">
        <f>HYPERLINK("https%3A%2F%2Fwww.webofscience.com%2Fwos%2Fwoscc%2Ffull-record%2FWOS:000080700100004","View Full Record in Web of Science")</f>
        <v>View Full Record in Web of Science</v>
      </c>
    </row>
    <row r="684" spans="1:72" x14ac:dyDescent="0.15">
      <c r="A684" t="s">
        <v>72</v>
      </c>
      <c r="B684" t="s">
        <v>8886</v>
      </c>
      <c r="C684" t="s">
        <v>74</v>
      </c>
      <c r="D684" t="s">
        <v>74</v>
      </c>
      <c r="E684" t="s">
        <v>74</v>
      </c>
      <c r="F684" t="s">
        <v>8886</v>
      </c>
      <c r="G684" t="s">
        <v>74</v>
      </c>
      <c r="H684" t="s">
        <v>74</v>
      </c>
      <c r="I684" t="s">
        <v>8887</v>
      </c>
      <c r="J684" t="s">
        <v>827</v>
      </c>
      <c r="K684" t="s">
        <v>74</v>
      </c>
      <c r="L684" t="s">
        <v>74</v>
      </c>
      <c r="M684" t="s">
        <v>77</v>
      </c>
      <c r="N684" t="s">
        <v>78</v>
      </c>
      <c r="O684" t="s">
        <v>74</v>
      </c>
      <c r="P684" t="s">
        <v>74</v>
      </c>
      <c r="Q684" t="s">
        <v>74</v>
      </c>
      <c r="R684" t="s">
        <v>74</v>
      </c>
      <c r="S684" t="s">
        <v>74</v>
      </c>
      <c r="T684" t="s">
        <v>74</v>
      </c>
      <c r="U684" t="s">
        <v>8888</v>
      </c>
      <c r="V684" t="s">
        <v>8889</v>
      </c>
      <c r="W684" t="s">
        <v>8890</v>
      </c>
      <c r="X684" t="s">
        <v>8891</v>
      </c>
      <c r="Y684" t="s">
        <v>8892</v>
      </c>
      <c r="Z684" t="s">
        <v>74</v>
      </c>
      <c r="AA684" t="s">
        <v>74</v>
      </c>
      <c r="AB684" t="s">
        <v>8893</v>
      </c>
      <c r="AC684" t="s">
        <v>74</v>
      </c>
      <c r="AD684" t="s">
        <v>74</v>
      </c>
      <c r="AE684" t="s">
        <v>74</v>
      </c>
      <c r="AF684" t="s">
        <v>74</v>
      </c>
      <c r="AG684">
        <v>26</v>
      </c>
      <c r="AH684">
        <v>12</v>
      </c>
      <c r="AI684">
        <v>15</v>
      </c>
      <c r="AJ684">
        <v>0</v>
      </c>
      <c r="AK684">
        <v>6</v>
      </c>
      <c r="AL684" t="s">
        <v>275</v>
      </c>
      <c r="AM684" t="s">
        <v>276</v>
      </c>
      <c r="AN684" t="s">
        <v>277</v>
      </c>
      <c r="AO684" t="s">
        <v>836</v>
      </c>
      <c r="AP684" t="s">
        <v>74</v>
      </c>
      <c r="AQ684" t="s">
        <v>74</v>
      </c>
      <c r="AR684" t="s">
        <v>837</v>
      </c>
      <c r="AS684" t="s">
        <v>838</v>
      </c>
      <c r="AT684" t="s">
        <v>8636</v>
      </c>
      <c r="AU684">
        <v>1999</v>
      </c>
      <c r="AV684">
        <v>46</v>
      </c>
      <c r="AW684">
        <v>4</v>
      </c>
      <c r="AX684" t="s">
        <v>74</v>
      </c>
      <c r="AY684" t="s">
        <v>74</v>
      </c>
      <c r="AZ684" t="s">
        <v>74</v>
      </c>
      <c r="BA684" t="s">
        <v>74</v>
      </c>
      <c r="BB684">
        <v>715</v>
      </c>
      <c r="BC684">
        <v>731</v>
      </c>
      <c r="BD684" t="s">
        <v>74</v>
      </c>
      <c r="BE684" t="s">
        <v>8894</v>
      </c>
      <c r="BF684" t="str">
        <f>HYPERLINK("http://dx.doi.org/10.1016/S0967-0637(98)00083-1","http://dx.doi.org/10.1016/S0967-0637(98)00083-1")</f>
        <v>http://dx.doi.org/10.1016/S0967-0637(98)00083-1</v>
      </c>
      <c r="BG684" t="s">
        <v>74</v>
      </c>
      <c r="BH684" t="s">
        <v>74</v>
      </c>
      <c r="BI684">
        <v>17</v>
      </c>
      <c r="BJ684" t="s">
        <v>416</v>
      </c>
      <c r="BK684" t="s">
        <v>96</v>
      </c>
      <c r="BL684" t="s">
        <v>416</v>
      </c>
      <c r="BM684" t="s">
        <v>8895</v>
      </c>
      <c r="BN684" t="s">
        <v>74</v>
      </c>
      <c r="BO684" t="s">
        <v>74</v>
      </c>
      <c r="BP684" t="s">
        <v>74</v>
      </c>
      <c r="BQ684" t="s">
        <v>74</v>
      </c>
      <c r="BR684" t="s">
        <v>99</v>
      </c>
      <c r="BS684" t="s">
        <v>8896</v>
      </c>
      <c r="BT684" t="str">
        <f>HYPERLINK("https%3A%2F%2Fwww.webofscience.com%2Fwos%2Fwoscc%2Ffull-record%2FWOS:000079402300008","View Full Record in Web of Science")</f>
        <v>View Full Record in Web of Science</v>
      </c>
    </row>
    <row r="685" spans="1:72" x14ac:dyDescent="0.15">
      <c r="A685" t="s">
        <v>72</v>
      </c>
      <c r="B685" t="s">
        <v>8897</v>
      </c>
      <c r="C685" t="s">
        <v>74</v>
      </c>
      <c r="D685" t="s">
        <v>74</v>
      </c>
      <c r="E685" t="s">
        <v>74</v>
      </c>
      <c r="F685" t="s">
        <v>8897</v>
      </c>
      <c r="G685" t="s">
        <v>74</v>
      </c>
      <c r="H685" t="s">
        <v>74</v>
      </c>
      <c r="I685" t="s">
        <v>8898</v>
      </c>
      <c r="J685" t="s">
        <v>844</v>
      </c>
      <c r="K685" t="s">
        <v>74</v>
      </c>
      <c r="L685" t="s">
        <v>74</v>
      </c>
      <c r="M685" t="s">
        <v>845</v>
      </c>
      <c r="N685" t="s">
        <v>78</v>
      </c>
      <c r="O685" t="s">
        <v>74</v>
      </c>
      <c r="P685" t="s">
        <v>74</v>
      </c>
      <c r="Q685" t="s">
        <v>74</v>
      </c>
      <c r="R685" t="s">
        <v>74</v>
      </c>
      <c r="S685" t="s">
        <v>74</v>
      </c>
      <c r="T685" t="s">
        <v>74</v>
      </c>
      <c r="U685" t="s">
        <v>8899</v>
      </c>
      <c r="V685" t="s">
        <v>74</v>
      </c>
      <c r="W685" t="s">
        <v>8900</v>
      </c>
      <c r="X685" t="s">
        <v>8901</v>
      </c>
      <c r="Y685" t="s">
        <v>8902</v>
      </c>
      <c r="Z685" t="s">
        <v>74</v>
      </c>
      <c r="AA685" t="s">
        <v>8903</v>
      </c>
      <c r="AB685" t="s">
        <v>8904</v>
      </c>
      <c r="AC685" t="s">
        <v>74</v>
      </c>
      <c r="AD685" t="s">
        <v>74</v>
      </c>
      <c r="AE685" t="s">
        <v>74</v>
      </c>
      <c r="AF685" t="s">
        <v>74</v>
      </c>
      <c r="AG685">
        <v>8</v>
      </c>
      <c r="AH685">
        <v>0</v>
      </c>
      <c r="AI685">
        <v>0</v>
      </c>
      <c r="AJ685">
        <v>0</v>
      </c>
      <c r="AK685">
        <v>0</v>
      </c>
      <c r="AL685" t="s">
        <v>849</v>
      </c>
      <c r="AM685" t="s">
        <v>850</v>
      </c>
      <c r="AN685" t="s">
        <v>851</v>
      </c>
      <c r="AO685" t="s">
        <v>852</v>
      </c>
      <c r="AP685" t="s">
        <v>74</v>
      </c>
      <c r="AQ685" t="s">
        <v>74</v>
      </c>
      <c r="AR685" t="s">
        <v>853</v>
      </c>
      <c r="AS685" t="s">
        <v>854</v>
      </c>
      <c r="AT685" t="s">
        <v>8636</v>
      </c>
      <c r="AU685">
        <v>1999</v>
      </c>
      <c r="AV685">
        <v>365</v>
      </c>
      <c r="AW685">
        <v>5</v>
      </c>
      <c r="AX685" t="s">
        <v>74</v>
      </c>
      <c r="AY685" t="s">
        <v>74</v>
      </c>
      <c r="AZ685" t="s">
        <v>74</v>
      </c>
      <c r="BA685" t="s">
        <v>74</v>
      </c>
      <c r="BB685">
        <v>680</v>
      </c>
      <c r="BC685">
        <v>683</v>
      </c>
      <c r="BD685" t="s">
        <v>74</v>
      </c>
      <c r="BE685" t="s">
        <v>74</v>
      </c>
      <c r="BF685" t="s">
        <v>74</v>
      </c>
      <c r="BG685" t="s">
        <v>74</v>
      </c>
      <c r="BH685" t="s">
        <v>74</v>
      </c>
      <c r="BI685">
        <v>4</v>
      </c>
      <c r="BJ685" t="s">
        <v>303</v>
      </c>
      <c r="BK685" t="s">
        <v>96</v>
      </c>
      <c r="BL685" t="s">
        <v>304</v>
      </c>
      <c r="BM685" t="s">
        <v>8905</v>
      </c>
      <c r="BN685" t="s">
        <v>74</v>
      </c>
      <c r="BO685" t="s">
        <v>74</v>
      </c>
      <c r="BP685" t="s">
        <v>74</v>
      </c>
      <c r="BQ685" t="s">
        <v>74</v>
      </c>
      <c r="BR685" t="s">
        <v>99</v>
      </c>
      <c r="BS685" t="s">
        <v>8906</v>
      </c>
      <c r="BT685" t="str">
        <f>HYPERLINK("https%3A%2F%2Fwww.webofscience.com%2Fwos%2Fwoscc%2Ffull-record%2FWOS:000085708400027","View Full Record in Web of Science")</f>
        <v>View Full Record in Web of Science</v>
      </c>
    </row>
    <row r="686" spans="1:72" x14ac:dyDescent="0.15">
      <c r="A686" t="s">
        <v>72</v>
      </c>
      <c r="B686" t="s">
        <v>8907</v>
      </c>
      <c r="C686" t="s">
        <v>74</v>
      </c>
      <c r="D686" t="s">
        <v>74</v>
      </c>
      <c r="E686" t="s">
        <v>74</v>
      </c>
      <c r="F686" t="s">
        <v>8907</v>
      </c>
      <c r="G686" t="s">
        <v>74</v>
      </c>
      <c r="H686" t="s">
        <v>74</v>
      </c>
      <c r="I686" t="s">
        <v>8908</v>
      </c>
      <c r="J686" t="s">
        <v>2063</v>
      </c>
      <c r="K686" t="s">
        <v>74</v>
      </c>
      <c r="L686" t="s">
        <v>74</v>
      </c>
      <c r="M686" t="s">
        <v>77</v>
      </c>
      <c r="N686" t="s">
        <v>78</v>
      </c>
      <c r="O686" t="s">
        <v>74</v>
      </c>
      <c r="P686" t="s">
        <v>74</v>
      </c>
      <c r="Q686" t="s">
        <v>74</v>
      </c>
      <c r="R686" t="s">
        <v>74</v>
      </c>
      <c r="S686" t="s">
        <v>74</v>
      </c>
      <c r="T686" t="s">
        <v>8909</v>
      </c>
      <c r="U686" t="s">
        <v>8910</v>
      </c>
      <c r="V686" t="s">
        <v>8911</v>
      </c>
      <c r="W686" t="s">
        <v>8912</v>
      </c>
      <c r="X686" t="s">
        <v>8913</v>
      </c>
      <c r="Y686" t="s">
        <v>8914</v>
      </c>
      <c r="Z686" t="s">
        <v>74</v>
      </c>
      <c r="AA686" t="s">
        <v>8915</v>
      </c>
      <c r="AB686" t="s">
        <v>8916</v>
      </c>
      <c r="AC686" t="s">
        <v>74</v>
      </c>
      <c r="AD686" t="s">
        <v>74</v>
      </c>
      <c r="AE686" t="s">
        <v>74</v>
      </c>
      <c r="AF686" t="s">
        <v>74</v>
      </c>
      <c r="AG686">
        <v>22</v>
      </c>
      <c r="AH686">
        <v>84</v>
      </c>
      <c r="AI686">
        <v>93</v>
      </c>
      <c r="AJ686">
        <v>1</v>
      </c>
      <c r="AK686">
        <v>23</v>
      </c>
      <c r="AL686" t="s">
        <v>210</v>
      </c>
      <c r="AM686" t="s">
        <v>211</v>
      </c>
      <c r="AN686" t="s">
        <v>212</v>
      </c>
      <c r="AO686" t="s">
        <v>2071</v>
      </c>
      <c r="AP686" t="s">
        <v>74</v>
      </c>
      <c r="AQ686" t="s">
        <v>74</v>
      </c>
      <c r="AR686" t="s">
        <v>2073</v>
      </c>
      <c r="AS686" t="s">
        <v>2074</v>
      </c>
      <c r="AT686" t="s">
        <v>8636</v>
      </c>
      <c r="AU686">
        <v>1999</v>
      </c>
      <c r="AV686">
        <v>28</v>
      </c>
      <c r="AW686">
        <v>4</v>
      </c>
      <c r="AX686" t="s">
        <v>74</v>
      </c>
      <c r="AY686" t="s">
        <v>74</v>
      </c>
      <c r="AZ686" t="s">
        <v>74</v>
      </c>
      <c r="BA686" t="s">
        <v>74</v>
      </c>
      <c r="BB686">
        <v>315</v>
      </c>
      <c r="BC686">
        <v>323</v>
      </c>
      <c r="BD686" t="s">
        <v>74</v>
      </c>
      <c r="BE686" t="s">
        <v>8917</v>
      </c>
      <c r="BF686" t="str">
        <f>HYPERLINK("http://dx.doi.org/10.1016/S0168-6496(98)00114-7","http://dx.doi.org/10.1016/S0168-6496(98)00114-7")</f>
        <v>http://dx.doi.org/10.1016/S0168-6496(98)00114-7</v>
      </c>
      <c r="BG686" t="s">
        <v>74</v>
      </c>
      <c r="BH686" t="s">
        <v>74</v>
      </c>
      <c r="BI686">
        <v>9</v>
      </c>
      <c r="BJ686" t="s">
        <v>2075</v>
      </c>
      <c r="BK686" t="s">
        <v>96</v>
      </c>
      <c r="BL686" t="s">
        <v>2075</v>
      </c>
      <c r="BM686" t="s">
        <v>8918</v>
      </c>
      <c r="BN686" t="s">
        <v>74</v>
      </c>
      <c r="BO686" t="s">
        <v>250</v>
      </c>
      <c r="BP686" t="s">
        <v>74</v>
      </c>
      <c r="BQ686" t="s">
        <v>74</v>
      </c>
      <c r="BR686" t="s">
        <v>99</v>
      </c>
      <c r="BS686" t="s">
        <v>8919</v>
      </c>
      <c r="BT686" t="str">
        <f>HYPERLINK("https%3A%2F%2Fwww.webofscience.com%2Fwos%2Fwoscc%2Ffull-record%2FWOS:000079648800002","View Full Record in Web of Science")</f>
        <v>View Full Record in Web of Science</v>
      </c>
    </row>
    <row r="687" spans="1:72" x14ac:dyDescent="0.15">
      <c r="A687" t="s">
        <v>72</v>
      </c>
      <c r="B687" t="s">
        <v>8920</v>
      </c>
      <c r="C687" t="s">
        <v>74</v>
      </c>
      <c r="D687" t="s">
        <v>74</v>
      </c>
      <c r="E687" t="s">
        <v>74</v>
      </c>
      <c r="F687" t="s">
        <v>8920</v>
      </c>
      <c r="G687" t="s">
        <v>74</v>
      </c>
      <c r="H687" t="s">
        <v>74</v>
      </c>
      <c r="I687" t="s">
        <v>8921</v>
      </c>
      <c r="J687" t="s">
        <v>2063</v>
      </c>
      <c r="K687" t="s">
        <v>74</v>
      </c>
      <c r="L687" t="s">
        <v>74</v>
      </c>
      <c r="M687" t="s">
        <v>77</v>
      </c>
      <c r="N687" t="s">
        <v>78</v>
      </c>
      <c r="O687" t="s">
        <v>74</v>
      </c>
      <c r="P687" t="s">
        <v>74</v>
      </c>
      <c r="Q687" t="s">
        <v>74</v>
      </c>
      <c r="R687" t="s">
        <v>74</v>
      </c>
      <c r="S687" t="s">
        <v>74</v>
      </c>
      <c r="T687" t="s">
        <v>8922</v>
      </c>
      <c r="U687" t="s">
        <v>8923</v>
      </c>
      <c r="V687" t="s">
        <v>8924</v>
      </c>
      <c r="W687" t="s">
        <v>8925</v>
      </c>
      <c r="X687" t="s">
        <v>8926</v>
      </c>
      <c r="Y687" t="s">
        <v>8927</v>
      </c>
      <c r="Z687" t="s">
        <v>8928</v>
      </c>
      <c r="AA687" t="s">
        <v>8929</v>
      </c>
      <c r="AB687" t="s">
        <v>74</v>
      </c>
      <c r="AC687" t="s">
        <v>74</v>
      </c>
      <c r="AD687" t="s">
        <v>74</v>
      </c>
      <c r="AE687" t="s">
        <v>74</v>
      </c>
      <c r="AF687" t="s">
        <v>74</v>
      </c>
      <c r="AG687">
        <v>51</v>
      </c>
      <c r="AH687">
        <v>26</v>
      </c>
      <c r="AI687">
        <v>26</v>
      </c>
      <c r="AJ687">
        <v>0</v>
      </c>
      <c r="AK687">
        <v>8</v>
      </c>
      <c r="AL687" t="s">
        <v>1090</v>
      </c>
      <c r="AM687" t="s">
        <v>276</v>
      </c>
      <c r="AN687" t="s">
        <v>1091</v>
      </c>
      <c r="AO687" t="s">
        <v>2071</v>
      </c>
      <c r="AP687" t="s">
        <v>2072</v>
      </c>
      <c r="AQ687" t="s">
        <v>74</v>
      </c>
      <c r="AR687" t="s">
        <v>2073</v>
      </c>
      <c r="AS687" t="s">
        <v>2074</v>
      </c>
      <c r="AT687" t="s">
        <v>8636</v>
      </c>
      <c r="AU687">
        <v>1999</v>
      </c>
      <c r="AV687">
        <v>28</v>
      </c>
      <c r="AW687">
        <v>4</v>
      </c>
      <c r="AX687" t="s">
        <v>74</v>
      </c>
      <c r="AY687" t="s">
        <v>74</v>
      </c>
      <c r="AZ687" t="s">
        <v>74</v>
      </c>
      <c r="BA687" t="s">
        <v>74</v>
      </c>
      <c r="BB687">
        <v>325</v>
      </c>
      <c r="BC687">
        <v>334</v>
      </c>
      <c r="BD687" t="s">
        <v>74</v>
      </c>
      <c r="BE687" t="s">
        <v>74</v>
      </c>
      <c r="BF687" t="s">
        <v>74</v>
      </c>
      <c r="BG687" t="s">
        <v>74</v>
      </c>
      <c r="BH687" t="s">
        <v>74</v>
      </c>
      <c r="BI687">
        <v>10</v>
      </c>
      <c r="BJ687" t="s">
        <v>2075</v>
      </c>
      <c r="BK687" t="s">
        <v>96</v>
      </c>
      <c r="BL687" t="s">
        <v>2075</v>
      </c>
      <c r="BM687" t="s">
        <v>8918</v>
      </c>
      <c r="BN687" t="s">
        <v>74</v>
      </c>
      <c r="BO687" t="s">
        <v>74</v>
      </c>
      <c r="BP687" t="s">
        <v>74</v>
      </c>
      <c r="BQ687" t="s">
        <v>74</v>
      </c>
      <c r="BR687" t="s">
        <v>99</v>
      </c>
      <c r="BS687" t="s">
        <v>8930</v>
      </c>
      <c r="BT687" t="str">
        <f>HYPERLINK("https%3A%2F%2Fwww.webofscience.com%2Fwos%2Fwoscc%2Ffull-record%2FWOS:000079648800003","View Full Record in Web of Science")</f>
        <v>View Full Record in Web of Science</v>
      </c>
    </row>
    <row r="688" spans="1:72" x14ac:dyDescent="0.15">
      <c r="A688" t="s">
        <v>72</v>
      </c>
      <c r="B688" t="s">
        <v>8931</v>
      </c>
      <c r="C688" t="s">
        <v>74</v>
      </c>
      <c r="D688" t="s">
        <v>74</v>
      </c>
      <c r="E688" t="s">
        <v>74</v>
      </c>
      <c r="F688" t="s">
        <v>8931</v>
      </c>
      <c r="G688" t="s">
        <v>74</v>
      </c>
      <c r="H688" t="s">
        <v>74</v>
      </c>
      <c r="I688" t="s">
        <v>8932</v>
      </c>
      <c r="J688" t="s">
        <v>8933</v>
      </c>
      <c r="K688" t="s">
        <v>74</v>
      </c>
      <c r="L688" t="s">
        <v>74</v>
      </c>
      <c r="M688" t="s">
        <v>77</v>
      </c>
      <c r="N688" t="s">
        <v>78</v>
      </c>
      <c r="O688" t="s">
        <v>74</v>
      </c>
      <c r="P688" t="s">
        <v>74</v>
      </c>
      <c r="Q688" t="s">
        <v>74</v>
      </c>
      <c r="R688" t="s">
        <v>74</v>
      </c>
      <c r="S688" t="s">
        <v>74</v>
      </c>
      <c r="T688" t="s">
        <v>8934</v>
      </c>
      <c r="U688" t="s">
        <v>74</v>
      </c>
      <c r="V688" t="s">
        <v>74</v>
      </c>
      <c r="W688" t="s">
        <v>8935</v>
      </c>
      <c r="X688" t="s">
        <v>8936</v>
      </c>
      <c r="Y688" t="s">
        <v>8937</v>
      </c>
      <c r="Z688" t="s">
        <v>74</v>
      </c>
      <c r="AA688" t="s">
        <v>8938</v>
      </c>
      <c r="AB688" t="s">
        <v>74</v>
      </c>
      <c r="AC688" t="s">
        <v>74</v>
      </c>
      <c r="AD688" t="s">
        <v>74</v>
      </c>
      <c r="AE688" t="s">
        <v>74</v>
      </c>
      <c r="AF688" t="s">
        <v>74</v>
      </c>
      <c r="AG688">
        <v>11</v>
      </c>
      <c r="AH688">
        <v>4</v>
      </c>
      <c r="AI688">
        <v>4</v>
      </c>
      <c r="AJ688">
        <v>0</v>
      </c>
      <c r="AK688">
        <v>6</v>
      </c>
      <c r="AL688" t="s">
        <v>8939</v>
      </c>
      <c r="AM688" t="s">
        <v>2555</v>
      </c>
      <c r="AN688" t="s">
        <v>8940</v>
      </c>
      <c r="AO688" t="s">
        <v>8941</v>
      </c>
      <c r="AP688" t="s">
        <v>74</v>
      </c>
      <c r="AQ688" t="s">
        <v>74</v>
      </c>
      <c r="AR688" t="s">
        <v>8942</v>
      </c>
      <c r="AS688" t="s">
        <v>8943</v>
      </c>
      <c r="AT688" t="s">
        <v>8636</v>
      </c>
      <c r="AU688">
        <v>1999</v>
      </c>
      <c r="AV688">
        <v>65</v>
      </c>
      <c r="AW688">
        <v>2</v>
      </c>
      <c r="AX688" t="s">
        <v>74</v>
      </c>
      <c r="AY688" t="s">
        <v>74</v>
      </c>
      <c r="AZ688" t="s">
        <v>74</v>
      </c>
      <c r="BA688" t="s">
        <v>74</v>
      </c>
      <c r="BB688">
        <v>315</v>
      </c>
      <c r="BC688">
        <v>316</v>
      </c>
      <c r="BD688" t="s">
        <v>74</v>
      </c>
      <c r="BE688" t="s">
        <v>8944</v>
      </c>
      <c r="BF688" t="str">
        <f>HYPERLINK("http://dx.doi.org/10.2331/fishsci.65.315","http://dx.doi.org/10.2331/fishsci.65.315")</f>
        <v>http://dx.doi.org/10.2331/fishsci.65.315</v>
      </c>
      <c r="BG688" t="s">
        <v>74</v>
      </c>
      <c r="BH688" t="s">
        <v>74</v>
      </c>
      <c r="BI688">
        <v>2</v>
      </c>
      <c r="BJ688" t="s">
        <v>5402</v>
      </c>
      <c r="BK688" t="s">
        <v>96</v>
      </c>
      <c r="BL688" t="s">
        <v>5402</v>
      </c>
      <c r="BM688" t="s">
        <v>8945</v>
      </c>
      <c r="BN688" t="s">
        <v>74</v>
      </c>
      <c r="BO688" t="s">
        <v>250</v>
      </c>
      <c r="BP688" t="s">
        <v>74</v>
      </c>
      <c r="BQ688" t="s">
        <v>74</v>
      </c>
      <c r="BR688" t="s">
        <v>99</v>
      </c>
      <c r="BS688" t="s">
        <v>8946</v>
      </c>
      <c r="BT688" t="str">
        <f>HYPERLINK("https%3A%2F%2Fwww.webofscience.com%2Fwos%2Fwoscc%2Ffull-record%2FWOS:000081852000026","View Full Record in Web of Science")</f>
        <v>View Full Record in Web of Science</v>
      </c>
    </row>
    <row r="689" spans="1:72" x14ac:dyDescent="0.15">
      <c r="A689" t="s">
        <v>72</v>
      </c>
      <c r="B689" t="s">
        <v>8947</v>
      </c>
      <c r="C689" t="s">
        <v>74</v>
      </c>
      <c r="D689" t="s">
        <v>74</v>
      </c>
      <c r="E689" t="s">
        <v>74</v>
      </c>
      <c r="F689" t="s">
        <v>8947</v>
      </c>
      <c r="G689" t="s">
        <v>74</v>
      </c>
      <c r="H689" t="s">
        <v>74</v>
      </c>
      <c r="I689" t="s">
        <v>8948</v>
      </c>
      <c r="J689" t="s">
        <v>889</v>
      </c>
      <c r="K689" t="s">
        <v>74</v>
      </c>
      <c r="L689" t="s">
        <v>74</v>
      </c>
      <c r="M689" t="s">
        <v>77</v>
      </c>
      <c r="N689" t="s">
        <v>78</v>
      </c>
      <c r="O689" t="s">
        <v>74</v>
      </c>
      <c r="P689" t="s">
        <v>74</v>
      </c>
      <c r="Q689" t="s">
        <v>74</v>
      </c>
      <c r="R689" t="s">
        <v>74</v>
      </c>
      <c r="S689" t="s">
        <v>74</v>
      </c>
      <c r="T689" t="s">
        <v>74</v>
      </c>
      <c r="U689" t="s">
        <v>8949</v>
      </c>
      <c r="V689" t="s">
        <v>8950</v>
      </c>
      <c r="W689" t="s">
        <v>8951</v>
      </c>
      <c r="X689" t="s">
        <v>8952</v>
      </c>
      <c r="Y689" t="s">
        <v>4744</v>
      </c>
      <c r="Z689" t="s">
        <v>74</v>
      </c>
      <c r="AA689" t="s">
        <v>8953</v>
      </c>
      <c r="AB689" t="s">
        <v>74</v>
      </c>
      <c r="AC689" t="s">
        <v>74</v>
      </c>
      <c r="AD689" t="s">
        <v>74</v>
      </c>
      <c r="AE689" t="s">
        <v>74</v>
      </c>
      <c r="AF689" t="s">
        <v>74</v>
      </c>
      <c r="AG689">
        <v>34</v>
      </c>
      <c r="AH689">
        <v>69</v>
      </c>
      <c r="AI689">
        <v>74</v>
      </c>
      <c r="AJ689">
        <v>0</v>
      </c>
      <c r="AK689">
        <v>18</v>
      </c>
      <c r="AL689" t="s">
        <v>922</v>
      </c>
      <c r="AM689" t="s">
        <v>589</v>
      </c>
      <c r="AN689" t="s">
        <v>897</v>
      </c>
      <c r="AO689" t="s">
        <v>898</v>
      </c>
      <c r="AP689" t="s">
        <v>923</v>
      </c>
      <c r="AQ689" t="s">
        <v>74</v>
      </c>
      <c r="AR689" t="s">
        <v>889</v>
      </c>
      <c r="AS689" t="s">
        <v>388</v>
      </c>
      <c r="AT689" t="s">
        <v>8636</v>
      </c>
      <c r="AU689">
        <v>1999</v>
      </c>
      <c r="AV689">
        <v>27</v>
      </c>
      <c r="AW689">
        <v>4</v>
      </c>
      <c r="AX689" t="s">
        <v>74</v>
      </c>
      <c r="AY689" t="s">
        <v>74</v>
      </c>
      <c r="AZ689" t="s">
        <v>74</v>
      </c>
      <c r="BA689" t="s">
        <v>74</v>
      </c>
      <c r="BB689">
        <v>331</v>
      </c>
      <c r="BC689">
        <v>334</v>
      </c>
      <c r="BD689" t="s">
        <v>74</v>
      </c>
      <c r="BE689" t="s">
        <v>8954</v>
      </c>
      <c r="BF689" t="str">
        <f>HYPERLINK("http://dx.doi.org/10.1130/0091-7613(1999)027&lt;0331:SOCROM&gt;2.3.CO;2","http://dx.doi.org/10.1130/0091-7613(1999)027&lt;0331:SOCROM&gt;2.3.CO;2")</f>
        <v>http://dx.doi.org/10.1130/0091-7613(1999)027&lt;0331:SOCROM&gt;2.3.CO;2</v>
      </c>
      <c r="BG689" t="s">
        <v>74</v>
      </c>
      <c r="BH689" t="s">
        <v>74</v>
      </c>
      <c r="BI689">
        <v>4</v>
      </c>
      <c r="BJ689" t="s">
        <v>388</v>
      </c>
      <c r="BK689" t="s">
        <v>96</v>
      </c>
      <c r="BL689" t="s">
        <v>388</v>
      </c>
      <c r="BM689" t="s">
        <v>8955</v>
      </c>
      <c r="BN689" t="s">
        <v>74</v>
      </c>
      <c r="BO689" t="s">
        <v>74</v>
      </c>
      <c r="BP689" t="s">
        <v>74</v>
      </c>
      <c r="BQ689" t="s">
        <v>74</v>
      </c>
      <c r="BR689" t="s">
        <v>99</v>
      </c>
      <c r="BS689" t="s">
        <v>8956</v>
      </c>
      <c r="BT689" t="str">
        <f>HYPERLINK("https%3A%2F%2Fwww.webofscience.com%2Fwos%2Fwoscc%2Ffull-record%2FWOS:000079670300011","View Full Record in Web of Science")</f>
        <v>View Full Record in Web of Science</v>
      </c>
    </row>
    <row r="690" spans="1:72" x14ac:dyDescent="0.15">
      <c r="A690" t="s">
        <v>72</v>
      </c>
      <c r="B690" t="s">
        <v>8957</v>
      </c>
      <c r="C690" t="s">
        <v>74</v>
      </c>
      <c r="D690" t="s">
        <v>74</v>
      </c>
      <c r="E690" t="s">
        <v>74</v>
      </c>
      <c r="F690" t="s">
        <v>8957</v>
      </c>
      <c r="G690" t="s">
        <v>74</v>
      </c>
      <c r="H690" t="s">
        <v>74</v>
      </c>
      <c r="I690" t="s">
        <v>8958</v>
      </c>
      <c r="J690" t="s">
        <v>889</v>
      </c>
      <c r="K690" t="s">
        <v>74</v>
      </c>
      <c r="L690" t="s">
        <v>74</v>
      </c>
      <c r="M690" t="s">
        <v>77</v>
      </c>
      <c r="N690" t="s">
        <v>78</v>
      </c>
      <c r="O690" t="s">
        <v>74</v>
      </c>
      <c r="P690" t="s">
        <v>74</v>
      </c>
      <c r="Q690" t="s">
        <v>74</v>
      </c>
      <c r="R690" t="s">
        <v>74</v>
      </c>
      <c r="S690" t="s">
        <v>74</v>
      </c>
      <c r="T690" t="s">
        <v>74</v>
      </c>
      <c r="U690" t="s">
        <v>8959</v>
      </c>
      <c r="V690" t="s">
        <v>8960</v>
      </c>
      <c r="W690" t="s">
        <v>8961</v>
      </c>
      <c r="X690" t="s">
        <v>8962</v>
      </c>
      <c r="Y690" t="s">
        <v>8963</v>
      </c>
      <c r="Z690" t="s">
        <v>8964</v>
      </c>
      <c r="AA690" t="s">
        <v>8965</v>
      </c>
      <c r="AB690" t="s">
        <v>8966</v>
      </c>
      <c r="AC690" t="s">
        <v>74</v>
      </c>
      <c r="AD690" t="s">
        <v>74</v>
      </c>
      <c r="AE690" t="s">
        <v>74</v>
      </c>
      <c r="AF690" t="s">
        <v>74</v>
      </c>
      <c r="AG690">
        <v>21</v>
      </c>
      <c r="AH690">
        <v>165</v>
      </c>
      <c r="AI690">
        <v>182</v>
      </c>
      <c r="AJ690">
        <v>0</v>
      </c>
      <c r="AK690">
        <v>16</v>
      </c>
      <c r="AL690" t="s">
        <v>922</v>
      </c>
      <c r="AM690" t="s">
        <v>589</v>
      </c>
      <c r="AN690" t="s">
        <v>897</v>
      </c>
      <c r="AO690" t="s">
        <v>898</v>
      </c>
      <c r="AP690" t="s">
        <v>923</v>
      </c>
      <c r="AQ690" t="s">
        <v>74</v>
      </c>
      <c r="AR690" t="s">
        <v>889</v>
      </c>
      <c r="AS690" t="s">
        <v>388</v>
      </c>
      <c r="AT690" t="s">
        <v>8636</v>
      </c>
      <c r="AU690">
        <v>1999</v>
      </c>
      <c r="AV690">
        <v>27</v>
      </c>
      <c r="AW690">
        <v>4</v>
      </c>
      <c r="AX690" t="s">
        <v>74</v>
      </c>
      <c r="AY690" t="s">
        <v>74</v>
      </c>
      <c r="AZ690" t="s">
        <v>74</v>
      </c>
      <c r="BA690" t="s">
        <v>74</v>
      </c>
      <c r="BB690">
        <v>375</v>
      </c>
      <c r="BC690">
        <v>378</v>
      </c>
      <c r="BD690" t="s">
        <v>74</v>
      </c>
      <c r="BE690" t="s">
        <v>8967</v>
      </c>
      <c r="BF690" t="str">
        <f>HYPERLINK("http://dx.doi.org/10.1130/0091-7613(1999)027&lt;0375:AMMPSL&gt;2.3.CO;2","http://dx.doi.org/10.1130/0091-7613(1999)027&lt;0375:AMMPSL&gt;2.3.CO;2")</f>
        <v>http://dx.doi.org/10.1130/0091-7613(1999)027&lt;0375:AMMPSL&gt;2.3.CO;2</v>
      </c>
      <c r="BG690" t="s">
        <v>74</v>
      </c>
      <c r="BH690" t="s">
        <v>74</v>
      </c>
      <c r="BI690">
        <v>4</v>
      </c>
      <c r="BJ690" t="s">
        <v>388</v>
      </c>
      <c r="BK690" t="s">
        <v>96</v>
      </c>
      <c r="BL690" t="s">
        <v>388</v>
      </c>
      <c r="BM690" t="s">
        <v>8955</v>
      </c>
      <c r="BN690" t="s">
        <v>74</v>
      </c>
      <c r="BO690" t="s">
        <v>74</v>
      </c>
      <c r="BP690" t="s">
        <v>74</v>
      </c>
      <c r="BQ690" t="s">
        <v>74</v>
      </c>
      <c r="BR690" t="s">
        <v>99</v>
      </c>
      <c r="BS690" t="s">
        <v>8968</v>
      </c>
      <c r="BT690" t="str">
        <f>HYPERLINK("https%3A%2F%2Fwww.webofscience.com%2Fwos%2Fwoscc%2Ffull-record%2FWOS:000079670300022","View Full Record in Web of Science")</f>
        <v>View Full Record in Web of Science</v>
      </c>
    </row>
    <row r="691" spans="1:72" x14ac:dyDescent="0.15">
      <c r="A691" t="s">
        <v>72</v>
      </c>
      <c r="B691" t="s">
        <v>8969</v>
      </c>
      <c r="C691" t="s">
        <v>74</v>
      </c>
      <c r="D691" t="s">
        <v>74</v>
      </c>
      <c r="E691" t="s">
        <v>74</v>
      </c>
      <c r="F691" t="s">
        <v>8969</v>
      </c>
      <c r="G691" t="s">
        <v>74</v>
      </c>
      <c r="H691" t="s">
        <v>74</v>
      </c>
      <c r="I691" t="s">
        <v>8970</v>
      </c>
      <c r="J691" t="s">
        <v>8971</v>
      </c>
      <c r="K691" t="s">
        <v>74</v>
      </c>
      <c r="L691" t="s">
        <v>74</v>
      </c>
      <c r="M691" t="s">
        <v>77</v>
      </c>
      <c r="N691" t="s">
        <v>78</v>
      </c>
      <c r="O691" t="s">
        <v>74</v>
      </c>
      <c r="P691" t="s">
        <v>74</v>
      </c>
      <c r="Q691" t="s">
        <v>74</v>
      </c>
      <c r="R691" t="s">
        <v>74</v>
      </c>
      <c r="S691" t="s">
        <v>74</v>
      </c>
      <c r="T691" t="s">
        <v>8972</v>
      </c>
      <c r="U691" t="s">
        <v>8973</v>
      </c>
      <c r="V691" t="s">
        <v>8974</v>
      </c>
      <c r="W691" t="s">
        <v>8975</v>
      </c>
      <c r="X691" t="s">
        <v>8976</v>
      </c>
      <c r="Y691" t="s">
        <v>8977</v>
      </c>
      <c r="Z691" t="s">
        <v>8978</v>
      </c>
      <c r="AA691" t="s">
        <v>74</v>
      </c>
      <c r="AB691" t="s">
        <v>74</v>
      </c>
      <c r="AC691" t="s">
        <v>74</v>
      </c>
      <c r="AD691" t="s">
        <v>74</v>
      </c>
      <c r="AE691" t="s">
        <v>74</v>
      </c>
      <c r="AF691" t="s">
        <v>74</v>
      </c>
      <c r="AG691">
        <v>33</v>
      </c>
      <c r="AH691">
        <v>71</v>
      </c>
      <c r="AI691">
        <v>79</v>
      </c>
      <c r="AJ691">
        <v>0</v>
      </c>
      <c r="AK691">
        <v>13</v>
      </c>
      <c r="AL691" t="s">
        <v>2368</v>
      </c>
      <c r="AM691" t="s">
        <v>2369</v>
      </c>
      <c r="AN691" t="s">
        <v>8979</v>
      </c>
      <c r="AO691" t="s">
        <v>8980</v>
      </c>
      <c r="AP691" t="s">
        <v>8981</v>
      </c>
      <c r="AQ691" t="s">
        <v>74</v>
      </c>
      <c r="AR691" t="s">
        <v>8982</v>
      </c>
      <c r="AS691" t="s">
        <v>8983</v>
      </c>
      <c r="AT691" t="s">
        <v>8650</v>
      </c>
      <c r="AU691">
        <v>1999</v>
      </c>
      <c r="AV691">
        <v>16</v>
      </c>
      <c r="AW691">
        <v>2</v>
      </c>
      <c r="AX691" t="s">
        <v>74</v>
      </c>
      <c r="AY691" t="s">
        <v>74</v>
      </c>
      <c r="AZ691" t="s">
        <v>74</v>
      </c>
      <c r="BA691" t="s">
        <v>74</v>
      </c>
      <c r="BB691">
        <v>193</v>
      </c>
      <c r="BC691">
        <v>202</v>
      </c>
      <c r="BD691" t="s">
        <v>74</v>
      </c>
      <c r="BE691" t="s">
        <v>74</v>
      </c>
      <c r="BF691" t="s">
        <v>74</v>
      </c>
      <c r="BG691" t="s">
        <v>74</v>
      </c>
      <c r="BH691" t="s">
        <v>74</v>
      </c>
      <c r="BI691">
        <v>10</v>
      </c>
      <c r="BJ691" t="s">
        <v>8984</v>
      </c>
      <c r="BK691" t="s">
        <v>96</v>
      </c>
      <c r="BL691" t="s">
        <v>8985</v>
      </c>
      <c r="BM691" t="s">
        <v>8986</v>
      </c>
      <c r="BN691" t="s">
        <v>74</v>
      </c>
      <c r="BO691" t="s">
        <v>74</v>
      </c>
      <c r="BP691" t="s">
        <v>74</v>
      </c>
      <c r="BQ691" t="s">
        <v>74</v>
      </c>
      <c r="BR691" t="s">
        <v>99</v>
      </c>
      <c r="BS691" t="s">
        <v>8987</v>
      </c>
      <c r="BT691" t="str">
        <f>HYPERLINK("https%3A%2F%2Fwww.webofscience.com%2Fwos%2Fwoscc%2Ffull-record%2FWOS:000081594800004","View Full Record in Web of Science")</f>
        <v>View Full Record in Web of Science</v>
      </c>
    </row>
    <row r="692" spans="1:72" x14ac:dyDescent="0.15">
      <c r="A692" t="s">
        <v>72</v>
      </c>
      <c r="B692" t="s">
        <v>8988</v>
      </c>
      <c r="C692" t="s">
        <v>74</v>
      </c>
      <c r="D692" t="s">
        <v>74</v>
      </c>
      <c r="E692" t="s">
        <v>74</v>
      </c>
      <c r="F692" t="s">
        <v>8988</v>
      </c>
      <c r="G692" t="s">
        <v>74</v>
      </c>
      <c r="H692" t="s">
        <v>74</v>
      </c>
      <c r="I692" t="s">
        <v>8989</v>
      </c>
      <c r="J692" t="s">
        <v>378</v>
      </c>
      <c r="K692" t="s">
        <v>74</v>
      </c>
      <c r="L692" t="s">
        <v>74</v>
      </c>
      <c r="M692" t="s">
        <v>77</v>
      </c>
      <c r="N692" t="s">
        <v>78</v>
      </c>
      <c r="O692" t="s">
        <v>74</v>
      </c>
      <c r="P692" t="s">
        <v>74</v>
      </c>
      <c r="Q692" t="s">
        <v>74</v>
      </c>
      <c r="R692" t="s">
        <v>74</v>
      </c>
      <c r="S692" t="s">
        <v>74</v>
      </c>
      <c r="T692" t="s">
        <v>74</v>
      </c>
      <c r="U692" t="s">
        <v>8990</v>
      </c>
      <c r="V692" t="s">
        <v>8991</v>
      </c>
      <c r="W692" t="s">
        <v>8992</v>
      </c>
      <c r="X692" t="s">
        <v>8993</v>
      </c>
      <c r="Y692" t="s">
        <v>8994</v>
      </c>
      <c r="Z692" t="s">
        <v>74</v>
      </c>
      <c r="AA692" t="s">
        <v>8995</v>
      </c>
      <c r="AB692" t="s">
        <v>8996</v>
      </c>
      <c r="AC692" t="s">
        <v>74</v>
      </c>
      <c r="AD692" t="s">
        <v>74</v>
      </c>
      <c r="AE692" t="s">
        <v>74</v>
      </c>
      <c r="AF692" t="s">
        <v>74</v>
      </c>
      <c r="AG692">
        <v>9</v>
      </c>
      <c r="AH692">
        <v>26</v>
      </c>
      <c r="AI692">
        <v>27</v>
      </c>
      <c r="AJ692">
        <v>0</v>
      </c>
      <c r="AK692">
        <v>2</v>
      </c>
      <c r="AL692" t="s">
        <v>230</v>
      </c>
      <c r="AM692" t="s">
        <v>231</v>
      </c>
      <c r="AN692" t="s">
        <v>232</v>
      </c>
      <c r="AO692" t="s">
        <v>382</v>
      </c>
      <c r="AP692" t="s">
        <v>74</v>
      </c>
      <c r="AQ692" t="s">
        <v>74</v>
      </c>
      <c r="AR692" t="s">
        <v>383</v>
      </c>
      <c r="AS692" t="s">
        <v>384</v>
      </c>
      <c r="AT692" t="s">
        <v>8997</v>
      </c>
      <c r="AU692">
        <v>1999</v>
      </c>
      <c r="AV692">
        <v>26</v>
      </c>
      <c r="AW692">
        <v>7</v>
      </c>
      <c r="AX692" t="s">
        <v>74</v>
      </c>
      <c r="AY692" t="s">
        <v>74</v>
      </c>
      <c r="AZ692" t="s">
        <v>74</v>
      </c>
      <c r="BA692" t="s">
        <v>74</v>
      </c>
      <c r="BB692">
        <v>851</v>
      </c>
      <c r="BC692">
        <v>854</v>
      </c>
      <c r="BD692" t="s">
        <v>74</v>
      </c>
      <c r="BE692" t="s">
        <v>8998</v>
      </c>
      <c r="BF692" t="str">
        <f>HYPERLINK("http://dx.doi.org/10.1029/1999GL900099","http://dx.doi.org/10.1029/1999GL900099")</f>
        <v>http://dx.doi.org/10.1029/1999GL900099</v>
      </c>
      <c r="BG692" t="s">
        <v>74</v>
      </c>
      <c r="BH692" t="s">
        <v>74</v>
      </c>
      <c r="BI692">
        <v>4</v>
      </c>
      <c r="BJ692" t="s">
        <v>387</v>
      </c>
      <c r="BK692" t="s">
        <v>96</v>
      </c>
      <c r="BL692" t="s">
        <v>388</v>
      </c>
      <c r="BM692" t="s">
        <v>8999</v>
      </c>
      <c r="BN692" t="s">
        <v>74</v>
      </c>
      <c r="BO692" t="s">
        <v>250</v>
      </c>
      <c r="BP692" t="s">
        <v>74</v>
      </c>
      <c r="BQ692" t="s">
        <v>74</v>
      </c>
      <c r="BR692" t="s">
        <v>99</v>
      </c>
      <c r="BS692" t="s">
        <v>9000</v>
      </c>
      <c r="BT692" t="str">
        <f>HYPERLINK("https%3A%2F%2Fwww.webofscience.com%2Fwos%2Fwoscc%2Ffull-record%2FWOS:000079477200011","View Full Record in Web of Science")</f>
        <v>View Full Record in Web of Science</v>
      </c>
    </row>
    <row r="693" spans="1:72" x14ac:dyDescent="0.15">
      <c r="A693" t="s">
        <v>72</v>
      </c>
      <c r="B693" t="s">
        <v>9001</v>
      </c>
      <c r="C693" t="s">
        <v>74</v>
      </c>
      <c r="D693" t="s">
        <v>74</v>
      </c>
      <c r="E693" t="s">
        <v>74</v>
      </c>
      <c r="F693" t="s">
        <v>9001</v>
      </c>
      <c r="G693" t="s">
        <v>74</v>
      </c>
      <c r="H693" t="s">
        <v>74</v>
      </c>
      <c r="I693" t="s">
        <v>9002</v>
      </c>
      <c r="J693" t="s">
        <v>9003</v>
      </c>
      <c r="K693" t="s">
        <v>74</v>
      </c>
      <c r="L693" t="s">
        <v>74</v>
      </c>
      <c r="M693" t="s">
        <v>77</v>
      </c>
      <c r="N693" t="s">
        <v>78</v>
      </c>
      <c r="O693" t="s">
        <v>74</v>
      </c>
      <c r="P693" t="s">
        <v>74</v>
      </c>
      <c r="Q693" t="s">
        <v>74</v>
      </c>
      <c r="R693" t="s">
        <v>74</v>
      </c>
      <c r="S693" t="s">
        <v>74</v>
      </c>
      <c r="T693" t="s">
        <v>9004</v>
      </c>
      <c r="U693" t="s">
        <v>9005</v>
      </c>
      <c r="V693" t="s">
        <v>9006</v>
      </c>
      <c r="W693" t="s">
        <v>9007</v>
      </c>
      <c r="X693" t="s">
        <v>9008</v>
      </c>
      <c r="Y693" t="s">
        <v>9009</v>
      </c>
      <c r="Z693" t="s">
        <v>9010</v>
      </c>
      <c r="AA693" t="s">
        <v>9011</v>
      </c>
      <c r="AB693" t="s">
        <v>74</v>
      </c>
      <c r="AC693" t="s">
        <v>74</v>
      </c>
      <c r="AD693" t="s">
        <v>74</v>
      </c>
      <c r="AE693" t="s">
        <v>74</v>
      </c>
      <c r="AF693" t="s">
        <v>74</v>
      </c>
      <c r="AG693">
        <v>21</v>
      </c>
      <c r="AH693">
        <v>31</v>
      </c>
      <c r="AI693">
        <v>39</v>
      </c>
      <c r="AJ693">
        <v>1</v>
      </c>
      <c r="AK693">
        <v>14</v>
      </c>
      <c r="AL693" t="s">
        <v>997</v>
      </c>
      <c r="AM693" t="s">
        <v>998</v>
      </c>
      <c r="AN693" t="s">
        <v>999</v>
      </c>
      <c r="AO693" t="s">
        <v>9012</v>
      </c>
      <c r="AP693" t="s">
        <v>9013</v>
      </c>
      <c r="AQ693" t="s">
        <v>74</v>
      </c>
      <c r="AR693" t="s">
        <v>9014</v>
      </c>
      <c r="AS693" t="s">
        <v>9015</v>
      </c>
      <c r="AT693" t="s">
        <v>8636</v>
      </c>
      <c r="AU693">
        <v>1999</v>
      </c>
      <c r="AV693">
        <v>5</v>
      </c>
      <c r="AW693">
        <v>4</v>
      </c>
      <c r="AX693" t="s">
        <v>74</v>
      </c>
      <c r="AY693" t="s">
        <v>74</v>
      </c>
      <c r="AZ693" t="s">
        <v>74</v>
      </c>
      <c r="BA693" t="s">
        <v>74</v>
      </c>
      <c r="BB693">
        <v>403</v>
      </c>
      <c r="BC693">
        <v>409</v>
      </c>
      <c r="BD693" t="s">
        <v>74</v>
      </c>
      <c r="BE693" t="s">
        <v>9016</v>
      </c>
      <c r="BF693" t="str">
        <f>HYPERLINK("http://dx.doi.org/10.1046/j.1365-2486.1999.00231.x","http://dx.doi.org/10.1046/j.1365-2486.1999.00231.x")</f>
        <v>http://dx.doi.org/10.1046/j.1365-2486.1999.00231.x</v>
      </c>
      <c r="BG693" t="s">
        <v>74</v>
      </c>
      <c r="BH693" t="s">
        <v>74</v>
      </c>
      <c r="BI693">
        <v>7</v>
      </c>
      <c r="BJ693" t="s">
        <v>9017</v>
      </c>
      <c r="BK693" t="s">
        <v>96</v>
      </c>
      <c r="BL693" t="s">
        <v>1384</v>
      </c>
      <c r="BM693" t="s">
        <v>9018</v>
      </c>
      <c r="BN693" t="s">
        <v>74</v>
      </c>
      <c r="BO693" t="s">
        <v>74</v>
      </c>
      <c r="BP693" t="s">
        <v>74</v>
      </c>
      <c r="BQ693" t="s">
        <v>74</v>
      </c>
      <c r="BR693" t="s">
        <v>99</v>
      </c>
      <c r="BS693" t="s">
        <v>9019</v>
      </c>
      <c r="BT693" t="str">
        <f>HYPERLINK("https%3A%2F%2Fwww.webofscience.com%2Fwos%2Fwoscc%2Ffull-record%2FWOS:000079560400003","View Full Record in Web of Science")</f>
        <v>View Full Record in Web of Science</v>
      </c>
    </row>
    <row r="694" spans="1:72" x14ac:dyDescent="0.15">
      <c r="A694" t="s">
        <v>72</v>
      </c>
      <c r="B694" t="s">
        <v>9020</v>
      </c>
      <c r="C694" t="s">
        <v>74</v>
      </c>
      <c r="D694" t="s">
        <v>74</v>
      </c>
      <c r="E694" t="s">
        <v>74</v>
      </c>
      <c r="F694" t="s">
        <v>9020</v>
      </c>
      <c r="G694" t="s">
        <v>74</v>
      </c>
      <c r="H694" t="s">
        <v>74</v>
      </c>
      <c r="I694" t="s">
        <v>9021</v>
      </c>
      <c r="J694" t="s">
        <v>9022</v>
      </c>
      <c r="K694" t="s">
        <v>74</v>
      </c>
      <c r="L694" t="s">
        <v>74</v>
      </c>
      <c r="M694" t="s">
        <v>77</v>
      </c>
      <c r="N694" t="s">
        <v>78</v>
      </c>
      <c r="O694" t="s">
        <v>74</v>
      </c>
      <c r="P694" t="s">
        <v>74</v>
      </c>
      <c r="Q694" t="s">
        <v>74</v>
      </c>
      <c r="R694" t="s">
        <v>74</v>
      </c>
      <c r="S694" t="s">
        <v>74</v>
      </c>
      <c r="T694" t="s">
        <v>9023</v>
      </c>
      <c r="U694" t="s">
        <v>9024</v>
      </c>
      <c r="V694" t="s">
        <v>9025</v>
      </c>
      <c r="W694" t="s">
        <v>9026</v>
      </c>
      <c r="X694" t="s">
        <v>9027</v>
      </c>
      <c r="Y694" t="s">
        <v>9028</v>
      </c>
      <c r="Z694" t="s">
        <v>74</v>
      </c>
      <c r="AA694" t="s">
        <v>9029</v>
      </c>
      <c r="AB694" t="s">
        <v>9030</v>
      </c>
      <c r="AC694" t="s">
        <v>74</v>
      </c>
      <c r="AD694" t="s">
        <v>74</v>
      </c>
      <c r="AE694" t="s">
        <v>74</v>
      </c>
      <c r="AF694" t="s">
        <v>74</v>
      </c>
      <c r="AG694">
        <v>49</v>
      </c>
      <c r="AH694">
        <v>5</v>
      </c>
      <c r="AI694">
        <v>5</v>
      </c>
      <c r="AJ694">
        <v>0</v>
      </c>
      <c r="AK694">
        <v>1</v>
      </c>
      <c r="AL694" t="s">
        <v>210</v>
      </c>
      <c r="AM694" t="s">
        <v>211</v>
      </c>
      <c r="AN694" t="s">
        <v>212</v>
      </c>
      <c r="AO694" t="s">
        <v>9031</v>
      </c>
      <c r="AP694" t="s">
        <v>74</v>
      </c>
      <c r="AQ694" t="s">
        <v>74</v>
      </c>
      <c r="AR694" t="s">
        <v>9032</v>
      </c>
      <c r="AS694" t="s">
        <v>9033</v>
      </c>
      <c r="AT694" t="s">
        <v>8636</v>
      </c>
      <c r="AU694">
        <v>1999</v>
      </c>
      <c r="AV694">
        <v>2</v>
      </c>
      <c r="AW694">
        <v>2</v>
      </c>
      <c r="AX694" t="s">
        <v>74</v>
      </c>
      <c r="AY694" t="s">
        <v>74</v>
      </c>
      <c r="AZ694" t="s">
        <v>74</v>
      </c>
      <c r="BA694" t="s">
        <v>74</v>
      </c>
      <c r="BB694">
        <v>227</v>
      </c>
      <c r="BC694">
        <v>236</v>
      </c>
      <c r="BD694" t="s">
        <v>74</v>
      </c>
      <c r="BE694" t="s">
        <v>9034</v>
      </c>
      <c r="BF694" t="str">
        <f>HYPERLINK("http://dx.doi.org/10.1016/S1342-937X(05)70147-7","http://dx.doi.org/10.1016/S1342-937X(05)70147-7")</f>
        <v>http://dx.doi.org/10.1016/S1342-937X(05)70147-7</v>
      </c>
      <c r="BG694" t="s">
        <v>74</v>
      </c>
      <c r="BH694" t="s">
        <v>74</v>
      </c>
      <c r="BI694">
        <v>10</v>
      </c>
      <c r="BJ694" t="s">
        <v>387</v>
      </c>
      <c r="BK694" t="s">
        <v>96</v>
      </c>
      <c r="BL694" t="s">
        <v>388</v>
      </c>
      <c r="BM694" t="s">
        <v>9035</v>
      </c>
      <c r="BN694" t="s">
        <v>74</v>
      </c>
      <c r="BO694" t="s">
        <v>74</v>
      </c>
      <c r="BP694" t="s">
        <v>74</v>
      </c>
      <c r="BQ694" t="s">
        <v>74</v>
      </c>
      <c r="BR694" t="s">
        <v>99</v>
      </c>
      <c r="BS694" t="s">
        <v>9036</v>
      </c>
      <c r="BT694" t="str">
        <f>HYPERLINK("https%3A%2F%2Fwww.webofscience.com%2Fwos%2Fwoscc%2Ffull-record%2FWOS:000080991300008","View Full Record in Web of Science")</f>
        <v>View Full Record in Web of Science</v>
      </c>
    </row>
    <row r="695" spans="1:72" x14ac:dyDescent="0.15">
      <c r="A695" t="s">
        <v>72</v>
      </c>
      <c r="B695" t="s">
        <v>9037</v>
      </c>
      <c r="C695" t="s">
        <v>74</v>
      </c>
      <c r="D695" t="s">
        <v>74</v>
      </c>
      <c r="E695" t="s">
        <v>74</v>
      </c>
      <c r="F695" t="s">
        <v>9037</v>
      </c>
      <c r="G695" t="s">
        <v>74</v>
      </c>
      <c r="H695" t="s">
        <v>74</v>
      </c>
      <c r="I695" t="s">
        <v>9038</v>
      </c>
      <c r="J695" t="s">
        <v>2166</v>
      </c>
      <c r="K695" t="s">
        <v>74</v>
      </c>
      <c r="L695" t="s">
        <v>74</v>
      </c>
      <c r="M695" t="s">
        <v>77</v>
      </c>
      <c r="N695" t="s">
        <v>78</v>
      </c>
      <c r="O695" t="s">
        <v>74</v>
      </c>
      <c r="P695" t="s">
        <v>74</v>
      </c>
      <c r="Q695" t="s">
        <v>74</v>
      </c>
      <c r="R695" t="s">
        <v>74</v>
      </c>
      <c r="S695" t="s">
        <v>74</v>
      </c>
      <c r="T695" t="s">
        <v>9039</v>
      </c>
      <c r="U695" t="s">
        <v>9040</v>
      </c>
      <c r="V695" t="s">
        <v>9041</v>
      </c>
      <c r="W695" t="s">
        <v>9042</v>
      </c>
      <c r="X695" t="s">
        <v>3826</v>
      </c>
      <c r="Y695" t="s">
        <v>9043</v>
      </c>
      <c r="Z695" t="s">
        <v>74</v>
      </c>
      <c r="AA695" t="s">
        <v>9044</v>
      </c>
      <c r="AB695" t="s">
        <v>9045</v>
      </c>
      <c r="AC695" t="s">
        <v>74</v>
      </c>
      <c r="AD695" t="s">
        <v>74</v>
      </c>
      <c r="AE695" t="s">
        <v>74</v>
      </c>
      <c r="AF695" t="s">
        <v>74</v>
      </c>
      <c r="AG695">
        <v>37</v>
      </c>
      <c r="AH695">
        <v>15</v>
      </c>
      <c r="AI695">
        <v>15</v>
      </c>
      <c r="AJ695">
        <v>0</v>
      </c>
      <c r="AK695">
        <v>1</v>
      </c>
      <c r="AL695" t="s">
        <v>2171</v>
      </c>
      <c r="AM695" t="s">
        <v>531</v>
      </c>
      <c r="AN695" t="s">
        <v>532</v>
      </c>
      <c r="AO695" t="s">
        <v>2172</v>
      </c>
      <c r="AP695" t="s">
        <v>74</v>
      </c>
      <c r="AQ695" t="s">
        <v>74</v>
      </c>
      <c r="AR695" t="s">
        <v>2173</v>
      </c>
      <c r="AS695" t="s">
        <v>2174</v>
      </c>
      <c r="AT695" t="s">
        <v>8636</v>
      </c>
      <c r="AU695">
        <v>1999</v>
      </c>
      <c r="AV695">
        <v>56</v>
      </c>
      <c r="AW695">
        <v>2</v>
      </c>
      <c r="AX695" t="s">
        <v>74</v>
      </c>
      <c r="AY695" t="s">
        <v>74</v>
      </c>
      <c r="AZ695" t="s">
        <v>74</v>
      </c>
      <c r="BA695" t="s">
        <v>74</v>
      </c>
      <c r="BB695">
        <v>221</v>
      </c>
      <c r="BC695">
        <v>227</v>
      </c>
      <c r="BD695" t="s">
        <v>74</v>
      </c>
      <c r="BE695" t="s">
        <v>9046</v>
      </c>
      <c r="BF695" t="str">
        <f>HYPERLINK("http://dx.doi.org/10.1006/jmsc.1998.0436","http://dx.doi.org/10.1006/jmsc.1998.0436")</f>
        <v>http://dx.doi.org/10.1006/jmsc.1998.0436</v>
      </c>
      <c r="BG695" t="s">
        <v>74</v>
      </c>
      <c r="BH695" t="s">
        <v>74</v>
      </c>
      <c r="BI695">
        <v>7</v>
      </c>
      <c r="BJ695" t="s">
        <v>2176</v>
      </c>
      <c r="BK695" t="s">
        <v>96</v>
      </c>
      <c r="BL695" t="s">
        <v>2176</v>
      </c>
      <c r="BM695" t="s">
        <v>9047</v>
      </c>
      <c r="BN695" t="s">
        <v>74</v>
      </c>
      <c r="BO695" t="s">
        <v>250</v>
      </c>
      <c r="BP695" t="s">
        <v>74</v>
      </c>
      <c r="BQ695" t="s">
        <v>74</v>
      </c>
      <c r="BR695" t="s">
        <v>99</v>
      </c>
      <c r="BS695" t="s">
        <v>9048</v>
      </c>
      <c r="BT695" t="str">
        <f>HYPERLINK("https%3A%2F%2Fwww.webofscience.com%2Fwos%2Fwoscc%2Ffull-record%2FWOS:000080017600014","View Full Record in Web of Science")</f>
        <v>View Full Record in Web of Science</v>
      </c>
    </row>
    <row r="696" spans="1:72" x14ac:dyDescent="0.15">
      <c r="A696" t="s">
        <v>72</v>
      </c>
      <c r="B696" t="s">
        <v>9049</v>
      </c>
      <c r="C696" t="s">
        <v>74</v>
      </c>
      <c r="D696" t="s">
        <v>74</v>
      </c>
      <c r="E696" t="s">
        <v>74</v>
      </c>
      <c r="F696" t="s">
        <v>9049</v>
      </c>
      <c r="G696" t="s">
        <v>74</v>
      </c>
      <c r="H696" t="s">
        <v>74</v>
      </c>
      <c r="I696" t="s">
        <v>9050</v>
      </c>
      <c r="J696" t="s">
        <v>9051</v>
      </c>
      <c r="K696" t="s">
        <v>74</v>
      </c>
      <c r="L696" t="s">
        <v>74</v>
      </c>
      <c r="M696" t="s">
        <v>77</v>
      </c>
      <c r="N696" t="s">
        <v>78</v>
      </c>
      <c r="O696" t="s">
        <v>74</v>
      </c>
      <c r="P696" t="s">
        <v>74</v>
      </c>
      <c r="Q696" t="s">
        <v>74</v>
      </c>
      <c r="R696" t="s">
        <v>74</v>
      </c>
      <c r="S696" t="s">
        <v>74</v>
      </c>
      <c r="T696" t="s">
        <v>9052</v>
      </c>
      <c r="U696" t="s">
        <v>9053</v>
      </c>
      <c r="V696" t="s">
        <v>9054</v>
      </c>
      <c r="W696" t="s">
        <v>9055</v>
      </c>
      <c r="X696" t="s">
        <v>9056</v>
      </c>
      <c r="Y696" t="s">
        <v>9057</v>
      </c>
      <c r="Z696" t="s">
        <v>9058</v>
      </c>
      <c r="AA696" t="s">
        <v>74</v>
      </c>
      <c r="AB696" t="s">
        <v>74</v>
      </c>
      <c r="AC696" t="s">
        <v>74</v>
      </c>
      <c r="AD696" t="s">
        <v>74</v>
      </c>
      <c r="AE696" t="s">
        <v>74</v>
      </c>
      <c r="AF696" t="s">
        <v>74</v>
      </c>
      <c r="AG696">
        <v>19</v>
      </c>
      <c r="AH696">
        <v>24</v>
      </c>
      <c r="AI696">
        <v>25</v>
      </c>
      <c r="AJ696">
        <v>2</v>
      </c>
      <c r="AK696">
        <v>17</v>
      </c>
      <c r="AL696" t="s">
        <v>1263</v>
      </c>
      <c r="AM696" t="s">
        <v>211</v>
      </c>
      <c r="AN696" t="s">
        <v>1264</v>
      </c>
      <c r="AO696" t="s">
        <v>9059</v>
      </c>
      <c r="AP696" t="s">
        <v>9060</v>
      </c>
      <c r="AQ696" t="s">
        <v>74</v>
      </c>
      <c r="AR696" t="s">
        <v>9061</v>
      </c>
      <c r="AS696" t="s">
        <v>9062</v>
      </c>
      <c r="AT696" t="s">
        <v>8636</v>
      </c>
      <c r="AU696">
        <v>1999</v>
      </c>
      <c r="AV696">
        <v>50</v>
      </c>
      <c r="AW696">
        <v>1</v>
      </c>
      <c r="AX696" t="s">
        <v>74</v>
      </c>
      <c r="AY696" t="s">
        <v>74</v>
      </c>
      <c r="AZ696" t="s">
        <v>74</v>
      </c>
      <c r="BA696" t="s">
        <v>74</v>
      </c>
      <c r="BB696">
        <v>63</v>
      </c>
      <c r="BC696">
        <v>76</v>
      </c>
      <c r="BD696" t="s">
        <v>74</v>
      </c>
      <c r="BE696" t="s">
        <v>9063</v>
      </c>
      <c r="BF696" t="str">
        <f>HYPERLINK("http://dx.doi.org/10.1016/S0165-2370(99)00003-0","http://dx.doi.org/10.1016/S0165-2370(99)00003-0")</f>
        <v>http://dx.doi.org/10.1016/S0165-2370(99)00003-0</v>
      </c>
      <c r="BG696" t="s">
        <v>74</v>
      </c>
      <c r="BH696" t="s">
        <v>74</v>
      </c>
      <c r="BI696">
        <v>14</v>
      </c>
      <c r="BJ696" t="s">
        <v>9064</v>
      </c>
      <c r="BK696" t="s">
        <v>96</v>
      </c>
      <c r="BL696" t="s">
        <v>9065</v>
      </c>
      <c r="BM696" t="s">
        <v>9066</v>
      </c>
      <c r="BN696" t="s">
        <v>74</v>
      </c>
      <c r="BO696" t="s">
        <v>74</v>
      </c>
      <c r="BP696" t="s">
        <v>74</v>
      </c>
      <c r="BQ696" t="s">
        <v>74</v>
      </c>
      <c r="BR696" t="s">
        <v>99</v>
      </c>
      <c r="BS696" t="s">
        <v>9067</v>
      </c>
      <c r="BT696" t="str">
        <f>HYPERLINK("https%3A%2F%2Fwww.webofscience.com%2Fwos%2Fwoscc%2Ffull-record%2FWOS:000079570100005","View Full Record in Web of Science")</f>
        <v>View Full Record in Web of Science</v>
      </c>
    </row>
    <row r="697" spans="1:72" x14ac:dyDescent="0.15">
      <c r="A697" t="s">
        <v>72</v>
      </c>
      <c r="B697" t="s">
        <v>9068</v>
      </c>
      <c r="C697" t="s">
        <v>74</v>
      </c>
      <c r="D697" t="s">
        <v>74</v>
      </c>
      <c r="E697" t="s">
        <v>74</v>
      </c>
      <c r="F697" t="s">
        <v>9068</v>
      </c>
      <c r="G697" t="s">
        <v>74</v>
      </c>
      <c r="H697" t="s">
        <v>74</v>
      </c>
      <c r="I697" t="s">
        <v>9069</v>
      </c>
      <c r="J697" t="s">
        <v>2235</v>
      </c>
      <c r="K697" t="s">
        <v>74</v>
      </c>
      <c r="L697" t="s">
        <v>74</v>
      </c>
      <c r="M697" t="s">
        <v>77</v>
      </c>
      <c r="N697" t="s">
        <v>78</v>
      </c>
      <c r="O697" t="s">
        <v>74</v>
      </c>
      <c r="P697" t="s">
        <v>74</v>
      </c>
      <c r="Q697" t="s">
        <v>74</v>
      </c>
      <c r="R697" t="s">
        <v>74</v>
      </c>
      <c r="S697" t="s">
        <v>74</v>
      </c>
      <c r="T697" t="s">
        <v>74</v>
      </c>
      <c r="U697" t="s">
        <v>9070</v>
      </c>
      <c r="V697" t="s">
        <v>9071</v>
      </c>
      <c r="W697" t="s">
        <v>9072</v>
      </c>
      <c r="X697" t="s">
        <v>9073</v>
      </c>
      <c r="Y697" t="s">
        <v>4351</v>
      </c>
      <c r="Z697" t="s">
        <v>9074</v>
      </c>
      <c r="AA697" t="s">
        <v>9075</v>
      </c>
      <c r="AB697" t="s">
        <v>9076</v>
      </c>
      <c r="AC697" t="s">
        <v>74</v>
      </c>
      <c r="AD697" t="s">
        <v>74</v>
      </c>
      <c r="AE697" t="s">
        <v>74</v>
      </c>
      <c r="AF697" t="s">
        <v>74</v>
      </c>
      <c r="AG697">
        <v>68</v>
      </c>
      <c r="AH697">
        <v>312</v>
      </c>
      <c r="AI697">
        <v>347</v>
      </c>
      <c r="AJ697">
        <v>0</v>
      </c>
      <c r="AK697">
        <v>46</v>
      </c>
      <c r="AL697" t="s">
        <v>86</v>
      </c>
      <c r="AM697" t="s">
        <v>87</v>
      </c>
      <c r="AN697" t="s">
        <v>88</v>
      </c>
      <c r="AO697" t="s">
        <v>2242</v>
      </c>
      <c r="AP697" t="s">
        <v>4550</v>
      </c>
      <c r="AQ697" t="s">
        <v>74</v>
      </c>
      <c r="AR697" t="s">
        <v>2243</v>
      </c>
      <c r="AS697" t="s">
        <v>2244</v>
      </c>
      <c r="AT697" t="s">
        <v>8636</v>
      </c>
      <c r="AU697">
        <v>1999</v>
      </c>
      <c r="AV697">
        <v>12</v>
      </c>
      <c r="AW697">
        <v>4</v>
      </c>
      <c r="AX697" t="s">
        <v>74</v>
      </c>
      <c r="AY697" t="s">
        <v>74</v>
      </c>
      <c r="AZ697" t="s">
        <v>74</v>
      </c>
      <c r="BA697" t="s">
        <v>74</v>
      </c>
      <c r="BB697">
        <v>933</v>
      </c>
      <c r="BC697">
        <v>946</v>
      </c>
      <c r="BD697" t="s">
        <v>74</v>
      </c>
      <c r="BE697" t="s">
        <v>9077</v>
      </c>
      <c r="BF697" t="str">
        <f>HYPERLINK("http://dx.doi.org/10.1175/1520-0442(1999)012&lt;0933:RONSMB&gt;2.0.CO;2","http://dx.doi.org/10.1175/1520-0442(1999)012&lt;0933:RONSMB&gt;2.0.CO;2")</f>
        <v>http://dx.doi.org/10.1175/1520-0442(1999)012&lt;0933:RONSMB&gt;2.0.CO;2</v>
      </c>
      <c r="BG697" t="s">
        <v>74</v>
      </c>
      <c r="BH697" t="s">
        <v>74</v>
      </c>
      <c r="BI697">
        <v>14</v>
      </c>
      <c r="BJ697" t="s">
        <v>95</v>
      </c>
      <c r="BK697" t="s">
        <v>96</v>
      </c>
      <c r="BL697" t="s">
        <v>95</v>
      </c>
      <c r="BM697" t="s">
        <v>9078</v>
      </c>
      <c r="BN697" t="s">
        <v>74</v>
      </c>
      <c r="BO697" t="s">
        <v>98</v>
      </c>
      <c r="BP697" t="s">
        <v>74</v>
      </c>
      <c r="BQ697" t="s">
        <v>74</v>
      </c>
      <c r="BR697" t="s">
        <v>99</v>
      </c>
      <c r="BS697" t="s">
        <v>9079</v>
      </c>
      <c r="BT697" t="str">
        <f>HYPERLINK("https%3A%2F%2Fwww.webofscience.com%2Fwos%2Fwoscc%2Ffull-record%2FWOS:000079500200002","View Full Record in Web of Science")</f>
        <v>View Full Record in Web of Science</v>
      </c>
    </row>
    <row r="698" spans="1:72" x14ac:dyDescent="0.15">
      <c r="A698" t="s">
        <v>72</v>
      </c>
      <c r="B698" t="s">
        <v>9080</v>
      </c>
      <c r="C698" t="s">
        <v>74</v>
      </c>
      <c r="D698" t="s">
        <v>74</v>
      </c>
      <c r="E698" t="s">
        <v>74</v>
      </c>
      <c r="F698" t="s">
        <v>9080</v>
      </c>
      <c r="G698" t="s">
        <v>74</v>
      </c>
      <c r="H698" t="s">
        <v>74</v>
      </c>
      <c r="I698" t="s">
        <v>9081</v>
      </c>
      <c r="J698" t="s">
        <v>2235</v>
      </c>
      <c r="K698" t="s">
        <v>74</v>
      </c>
      <c r="L698" t="s">
        <v>74</v>
      </c>
      <c r="M698" t="s">
        <v>77</v>
      </c>
      <c r="N698" t="s">
        <v>78</v>
      </c>
      <c r="O698" t="s">
        <v>74</v>
      </c>
      <c r="P698" t="s">
        <v>74</v>
      </c>
      <c r="Q698" t="s">
        <v>74</v>
      </c>
      <c r="R698" t="s">
        <v>74</v>
      </c>
      <c r="S698" t="s">
        <v>74</v>
      </c>
      <c r="T698" t="s">
        <v>74</v>
      </c>
      <c r="U698" t="s">
        <v>9082</v>
      </c>
      <c r="V698" t="s">
        <v>9083</v>
      </c>
      <c r="W698" t="s">
        <v>9084</v>
      </c>
      <c r="X698" t="s">
        <v>4692</v>
      </c>
      <c r="Y698" t="s">
        <v>9085</v>
      </c>
      <c r="Z698" t="s">
        <v>74</v>
      </c>
      <c r="AA698" t="s">
        <v>74</v>
      </c>
      <c r="AB698" t="s">
        <v>74</v>
      </c>
      <c r="AC698" t="s">
        <v>74</v>
      </c>
      <c r="AD698" t="s">
        <v>74</v>
      </c>
      <c r="AE698" t="s">
        <v>74</v>
      </c>
      <c r="AF698" t="s">
        <v>74</v>
      </c>
      <c r="AG698">
        <v>27</v>
      </c>
      <c r="AH698">
        <v>37</v>
      </c>
      <c r="AI698">
        <v>38</v>
      </c>
      <c r="AJ698">
        <v>0</v>
      </c>
      <c r="AK698">
        <v>3</v>
      </c>
      <c r="AL698" t="s">
        <v>86</v>
      </c>
      <c r="AM698" t="s">
        <v>87</v>
      </c>
      <c r="AN698" t="s">
        <v>88</v>
      </c>
      <c r="AO698" t="s">
        <v>2242</v>
      </c>
      <c r="AP698" t="s">
        <v>74</v>
      </c>
      <c r="AQ698" t="s">
        <v>74</v>
      </c>
      <c r="AR698" t="s">
        <v>2243</v>
      </c>
      <c r="AS698" t="s">
        <v>2244</v>
      </c>
      <c r="AT698" t="s">
        <v>8636</v>
      </c>
      <c r="AU698">
        <v>1999</v>
      </c>
      <c r="AV698">
        <v>12</v>
      </c>
      <c r="AW698">
        <v>4</v>
      </c>
      <c r="AX698" t="s">
        <v>74</v>
      </c>
      <c r="AY698" t="s">
        <v>74</v>
      </c>
      <c r="AZ698" t="s">
        <v>74</v>
      </c>
      <c r="BA698" t="s">
        <v>74</v>
      </c>
      <c r="BB698">
        <v>960</v>
      </c>
      <c r="BC698">
        <v>976</v>
      </c>
      <c r="BD698" t="s">
        <v>74</v>
      </c>
      <c r="BE698" t="s">
        <v>9086</v>
      </c>
      <c r="BF698" t="str">
        <f>HYPERLINK("http://dx.doi.org/10.1175/1520-0442(1999)012&lt;0960:IOTACW&gt;2.0.CO;2","http://dx.doi.org/10.1175/1520-0442(1999)012&lt;0960:IOTACW&gt;2.0.CO;2")</f>
        <v>http://dx.doi.org/10.1175/1520-0442(1999)012&lt;0960:IOTACW&gt;2.0.CO;2</v>
      </c>
      <c r="BG698" t="s">
        <v>74</v>
      </c>
      <c r="BH698" t="s">
        <v>74</v>
      </c>
      <c r="BI698">
        <v>17</v>
      </c>
      <c r="BJ698" t="s">
        <v>95</v>
      </c>
      <c r="BK698" t="s">
        <v>96</v>
      </c>
      <c r="BL698" t="s">
        <v>95</v>
      </c>
      <c r="BM698" t="s">
        <v>9078</v>
      </c>
      <c r="BN698" t="s">
        <v>74</v>
      </c>
      <c r="BO698" t="s">
        <v>1505</v>
      </c>
      <c r="BP698" t="s">
        <v>74</v>
      </c>
      <c r="BQ698" t="s">
        <v>74</v>
      </c>
      <c r="BR698" t="s">
        <v>99</v>
      </c>
      <c r="BS698" t="s">
        <v>9087</v>
      </c>
      <c r="BT698" t="str">
        <f>HYPERLINK("https%3A%2F%2Fwww.webofscience.com%2Fwos%2Fwoscc%2Ffull-record%2FWOS:000079500200004","View Full Record in Web of Science")</f>
        <v>View Full Record in Web of Science</v>
      </c>
    </row>
    <row r="699" spans="1:72" x14ac:dyDescent="0.15">
      <c r="A699" t="s">
        <v>72</v>
      </c>
      <c r="B699" t="s">
        <v>9088</v>
      </c>
      <c r="C699" t="s">
        <v>74</v>
      </c>
      <c r="D699" t="s">
        <v>74</v>
      </c>
      <c r="E699" t="s">
        <v>74</v>
      </c>
      <c r="F699" t="s">
        <v>9088</v>
      </c>
      <c r="G699" t="s">
        <v>74</v>
      </c>
      <c r="H699" t="s">
        <v>74</v>
      </c>
      <c r="I699" t="s">
        <v>9089</v>
      </c>
      <c r="J699" t="s">
        <v>9090</v>
      </c>
      <c r="K699" t="s">
        <v>74</v>
      </c>
      <c r="L699" t="s">
        <v>74</v>
      </c>
      <c r="M699" t="s">
        <v>77</v>
      </c>
      <c r="N699" t="s">
        <v>123</v>
      </c>
      <c r="O699" t="s">
        <v>9091</v>
      </c>
      <c r="P699" t="s">
        <v>9092</v>
      </c>
      <c r="Q699" t="s">
        <v>9093</v>
      </c>
      <c r="R699" t="s">
        <v>74</v>
      </c>
      <c r="S699" t="s">
        <v>74</v>
      </c>
      <c r="T699" t="s">
        <v>74</v>
      </c>
      <c r="U699" t="s">
        <v>9094</v>
      </c>
      <c r="V699" t="s">
        <v>9095</v>
      </c>
      <c r="W699" t="s">
        <v>9096</v>
      </c>
      <c r="X699" t="s">
        <v>9097</v>
      </c>
      <c r="Y699" t="s">
        <v>9098</v>
      </c>
      <c r="Z699" t="s">
        <v>9099</v>
      </c>
      <c r="AA699" t="s">
        <v>9100</v>
      </c>
      <c r="AB699" t="s">
        <v>9101</v>
      </c>
      <c r="AC699" t="s">
        <v>74</v>
      </c>
      <c r="AD699" t="s">
        <v>74</v>
      </c>
      <c r="AE699" t="s">
        <v>74</v>
      </c>
      <c r="AF699" t="s">
        <v>74</v>
      </c>
      <c r="AG699">
        <v>37</v>
      </c>
      <c r="AH699">
        <v>17</v>
      </c>
      <c r="AI699">
        <v>18</v>
      </c>
      <c r="AJ699">
        <v>0</v>
      </c>
      <c r="AK699">
        <v>4</v>
      </c>
      <c r="AL699" t="s">
        <v>275</v>
      </c>
      <c r="AM699" t="s">
        <v>276</v>
      </c>
      <c r="AN699" t="s">
        <v>277</v>
      </c>
      <c r="AO699" t="s">
        <v>9102</v>
      </c>
      <c r="AP699" t="s">
        <v>74</v>
      </c>
      <c r="AQ699" t="s">
        <v>74</v>
      </c>
      <c r="AR699" t="s">
        <v>9103</v>
      </c>
      <c r="AS699" t="s">
        <v>9104</v>
      </c>
      <c r="AT699" t="s">
        <v>8636</v>
      </c>
      <c r="AU699">
        <v>1999</v>
      </c>
      <c r="AV699">
        <v>27</v>
      </c>
      <c r="AW699">
        <v>3</v>
      </c>
      <c r="AX699" t="s">
        <v>74</v>
      </c>
      <c r="AY699" t="s">
        <v>74</v>
      </c>
      <c r="AZ699" t="s">
        <v>74</v>
      </c>
      <c r="BA699" t="s">
        <v>74</v>
      </c>
      <c r="BB699">
        <v>289</v>
      </c>
      <c r="BC699">
        <v>307</v>
      </c>
      <c r="BD699" t="s">
        <v>74</v>
      </c>
      <c r="BE699" t="s">
        <v>9105</v>
      </c>
      <c r="BF699" t="str">
        <f>HYPERLINK("http://dx.doi.org/10.1016/S0264-3707(98)00003-9","http://dx.doi.org/10.1016/S0264-3707(98)00003-9")</f>
        <v>http://dx.doi.org/10.1016/S0264-3707(98)00003-9</v>
      </c>
      <c r="BG699" t="s">
        <v>74</v>
      </c>
      <c r="BH699" t="s">
        <v>74</v>
      </c>
      <c r="BI699">
        <v>19</v>
      </c>
      <c r="BJ699" t="s">
        <v>216</v>
      </c>
      <c r="BK699" t="s">
        <v>156</v>
      </c>
      <c r="BL699" t="s">
        <v>216</v>
      </c>
      <c r="BM699" t="s">
        <v>9106</v>
      </c>
      <c r="BN699" t="s">
        <v>74</v>
      </c>
      <c r="BO699" t="s">
        <v>74</v>
      </c>
      <c r="BP699" t="s">
        <v>74</v>
      </c>
      <c r="BQ699" t="s">
        <v>74</v>
      </c>
      <c r="BR699" t="s">
        <v>99</v>
      </c>
      <c r="BS699" t="s">
        <v>9107</v>
      </c>
      <c r="BT699" t="str">
        <f>HYPERLINK("https%3A%2F%2Fwww.webofscience.com%2Fwos%2Fwoscc%2Ffull-record%2FWOS:000079484000004","View Full Record in Web of Science")</f>
        <v>View Full Record in Web of Science</v>
      </c>
    </row>
    <row r="700" spans="1:72" x14ac:dyDescent="0.15">
      <c r="A700" t="s">
        <v>72</v>
      </c>
      <c r="B700" t="s">
        <v>9108</v>
      </c>
      <c r="C700" t="s">
        <v>74</v>
      </c>
      <c r="D700" t="s">
        <v>74</v>
      </c>
      <c r="E700" t="s">
        <v>74</v>
      </c>
      <c r="F700" t="s">
        <v>9108</v>
      </c>
      <c r="G700" t="s">
        <v>74</v>
      </c>
      <c r="H700" t="s">
        <v>74</v>
      </c>
      <c r="I700" t="s">
        <v>9109</v>
      </c>
      <c r="J700" t="s">
        <v>1063</v>
      </c>
      <c r="K700" t="s">
        <v>74</v>
      </c>
      <c r="L700" t="s">
        <v>74</v>
      </c>
      <c r="M700" t="s">
        <v>77</v>
      </c>
      <c r="N700" t="s">
        <v>78</v>
      </c>
      <c r="O700" t="s">
        <v>74</v>
      </c>
      <c r="P700" t="s">
        <v>74</v>
      </c>
      <c r="Q700" t="s">
        <v>74</v>
      </c>
      <c r="R700" t="s">
        <v>74</v>
      </c>
      <c r="S700" t="s">
        <v>74</v>
      </c>
      <c r="T700" t="s">
        <v>74</v>
      </c>
      <c r="U700" t="s">
        <v>9110</v>
      </c>
      <c r="V700" t="s">
        <v>9111</v>
      </c>
      <c r="W700" t="s">
        <v>9112</v>
      </c>
      <c r="X700" t="s">
        <v>9113</v>
      </c>
      <c r="Y700" t="s">
        <v>9114</v>
      </c>
      <c r="Z700" t="s">
        <v>74</v>
      </c>
      <c r="AA700" t="s">
        <v>74</v>
      </c>
      <c r="AB700" t="s">
        <v>9115</v>
      </c>
      <c r="AC700" t="s">
        <v>74</v>
      </c>
      <c r="AD700" t="s">
        <v>74</v>
      </c>
      <c r="AE700" t="s">
        <v>74</v>
      </c>
      <c r="AF700" t="s">
        <v>74</v>
      </c>
      <c r="AG700">
        <v>56</v>
      </c>
      <c r="AH700">
        <v>40</v>
      </c>
      <c r="AI700">
        <v>44</v>
      </c>
      <c r="AJ700">
        <v>0</v>
      </c>
      <c r="AK700">
        <v>2</v>
      </c>
      <c r="AL700" t="s">
        <v>230</v>
      </c>
      <c r="AM700" t="s">
        <v>231</v>
      </c>
      <c r="AN700" t="s">
        <v>232</v>
      </c>
      <c r="AO700" t="s">
        <v>1070</v>
      </c>
      <c r="AP700" t="s">
        <v>1071</v>
      </c>
      <c r="AQ700" t="s">
        <v>74</v>
      </c>
      <c r="AR700" t="s">
        <v>1072</v>
      </c>
      <c r="AS700" t="s">
        <v>1073</v>
      </c>
      <c r="AT700" t="s">
        <v>8997</v>
      </c>
      <c r="AU700">
        <v>1999</v>
      </c>
      <c r="AV700">
        <v>104</v>
      </c>
      <c r="AW700" t="s">
        <v>9116</v>
      </c>
      <c r="AX700" t="s">
        <v>74</v>
      </c>
      <c r="AY700" t="s">
        <v>74</v>
      </c>
      <c r="AZ700" t="s">
        <v>74</v>
      </c>
      <c r="BA700" t="s">
        <v>74</v>
      </c>
      <c r="BB700">
        <v>6737</v>
      </c>
      <c r="BC700">
        <v>6749</v>
      </c>
      <c r="BD700" t="s">
        <v>74</v>
      </c>
      <c r="BE700" t="s">
        <v>9117</v>
      </c>
      <c r="BF700" t="str">
        <f>HYPERLINK("http://dx.doi.org/10.1029/1998JA900107","http://dx.doi.org/10.1029/1998JA900107")</f>
        <v>http://dx.doi.org/10.1029/1998JA900107</v>
      </c>
      <c r="BG700" t="s">
        <v>74</v>
      </c>
      <c r="BH700" t="s">
        <v>74</v>
      </c>
      <c r="BI700">
        <v>13</v>
      </c>
      <c r="BJ700" t="s">
        <v>1076</v>
      </c>
      <c r="BK700" t="s">
        <v>96</v>
      </c>
      <c r="BL700" t="s">
        <v>1076</v>
      </c>
      <c r="BM700" t="s">
        <v>9118</v>
      </c>
      <c r="BN700" t="s">
        <v>74</v>
      </c>
      <c r="BO700" t="s">
        <v>74</v>
      </c>
      <c r="BP700" t="s">
        <v>74</v>
      </c>
      <c r="BQ700" t="s">
        <v>74</v>
      </c>
      <c r="BR700" t="s">
        <v>99</v>
      </c>
      <c r="BS700" t="s">
        <v>9119</v>
      </c>
      <c r="BT700" t="str">
        <f>HYPERLINK("https%3A%2F%2Fwww.webofscience.com%2Fwos%2Fwoscc%2Ffull-record%2FWOS:000079481600006","View Full Record in Web of Science")</f>
        <v>View Full Record in Web of Science</v>
      </c>
    </row>
    <row r="701" spans="1:72" x14ac:dyDescent="0.15">
      <c r="A701" t="s">
        <v>72</v>
      </c>
      <c r="B701" t="s">
        <v>9120</v>
      </c>
      <c r="C701" t="s">
        <v>74</v>
      </c>
      <c r="D701" t="s">
        <v>74</v>
      </c>
      <c r="E701" t="s">
        <v>74</v>
      </c>
      <c r="F701" t="s">
        <v>9120</v>
      </c>
      <c r="G701" t="s">
        <v>74</v>
      </c>
      <c r="H701" t="s">
        <v>74</v>
      </c>
      <c r="I701" t="s">
        <v>9121</v>
      </c>
      <c r="J701" t="s">
        <v>6951</v>
      </c>
      <c r="K701" t="s">
        <v>74</v>
      </c>
      <c r="L701" t="s">
        <v>74</v>
      </c>
      <c r="M701" t="s">
        <v>77</v>
      </c>
      <c r="N701" t="s">
        <v>78</v>
      </c>
      <c r="O701" t="s">
        <v>74</v>
      </c>
      <c r="P701" t="s">
        <v>74</v>
      </c>
      <c r="Q701" t="s">
        <v>74</v>
      </c>
      <c r="R701" t="s">
        <v>74</v>
      </c>
      <c r="S701" t="s">
        <v>74</v>
      </c>
      <c r="T701" t="s">
        <v>9122</v>
      </c>
      <c r="U701" t="s">
        <v>9123</v>
      </c>
      <c r="V701" t="s">
        <v>9124</v>
      </c>
      <c r="W701" t="s">
        <v>9125</v>
      </c>
      <c r="X701" t="s">
        <v>9126</v>
      </c>
      <c r="Y701" t="s">
        <v>9127</v>
      </c>
      <c r="Z701" t="s">
        <v>9128</v>
      </c>
      <c r="AA701" t="s">
        <v>74</v>
      </c>
      <c r="AB701" t="s">
        <v>74</v>
      </c>
      <c r="AC701" t="s">
        <v>74</v>
      </c>
      <c r="AD701" t="s">
        <v>74</v>
      </c>
      <c r="AE701" t="s">
        <v>74</v>
      </c>
      <c r="AF701" t="s">
        <v>74</v>
      </c>
      <c r="AG701">
        <v>43</v>
      </c>
      <c r="AH701">
        <v>10</v>
      </c>
      <c r="AI701">
        <v>10</v>
      </c>
      <c r="AJ701">
        <v>0</v>
      </c>
      <c r="AK701">
        <v>10</v>
      </c>
      <c r="AL701" t="s">
        <v>3435</v>
      </c>
      <c r="AM701" t="s">
        <v>4921</v>
      </c>
      <c r="AN701" t="s">
        <v>4922</v>
      </c>
      <c r="AO701" t="s">
        <v>6960</v>
      </c>
      <c r="AP701" t="s">
        <v>74</v>
      </c>
      <c r="AQ701" t="s">
        <v>74</v>
      </c>
      <c r="AR701" t="s">
        <v>6961</v>
      </c>
      <c r="AS701" t="s">
        <v>6962</v>
      </c>
      <c r="AT701" t="s">
        <v>8636</v>
      </c>
      <c r="AU701">
        <v>1999</v>
      </c>
      <c r="AV701">
        <v>35</v>
      </c>
      <c r="AW701">
        <v>2</v>
      </c>
      <c r="AX701" t="s">
        <v>74</v>
      </c>
      <c r="AY701" t="s">
        <v>74</v>
      </c>
      <c r="AZ701" t="s">
        <v>74</v>
      </c>
      <c r="BA701" t="s">
        <v>74</v>
      </c>
      <c r="BB701">
        <v>280</v>
      </c>
      <c r="BC701">
        <v>286</v>
      </c>
      <c r="BD701" t="s">
        <v>74</v>
      </c>
      <c r="BE701" t="s">
        <v>9129</v>
      </c>
      <c r="BF701" t="str">
        <f>HYPERLINK("http://dx.doi.org/10.1046/j.1529-8817.1999.3520280.x","http://dx.doi.org/10.1046/j.1529-8817.1999.3520280.x")</f>
        <v>http://dx.doi.org/10.1046/j.1529-8817.1999.3520280.x</v>
      </c>
      <c r="BG701" t="s">
        <v>74</v>
      </c>
      <c r="BH701" t="s">
        <v>74</v>
      </c>
      <c r="BI701">
        <v>7</v>
      </c>
      <c r="BJ701" t="s">
        <v>2033</v>
      </c>
      <c r="BK701" t="s">
        <v>96</v>
      </c>
      <c r="BL701" t="s">
        <v>2033</v>
      </c>
      <c r="BM701" t="s">
        <v>9130</v>
      </c>
      <c r="BN701" t="s">
        <v>74</v>
      </c>
      <c r="BO701" t="s">
        <v>74</v>
      </c>
      <c r="BP701" t="s">
        <v>74</v>
      </c>
      <c r="BQ701" t="s">
        <v>74</v>
      </c>
      <c r="BR701" t="s">
        <v>99</v>
      </c>
      <c r="BS701" t="s">
        <v>9131</v>
      </c>
      <c r="BT701" t="str">
        <f>HYPERLINK("https%3A%2F%2Fwww.webofscience.com%2Fwos%2Fwoscc%2Ffull-record%2FWOS:000080222900009","View Full Record in Web of Science")</f>
        <v>View Full Record in Web of Science</v>
      </c>
    </row>
    <row r="702" spans="1:72" x14ac:dyDescent="0.15">
      <c r="A702" t="s">
        <v>72</v>
      </c>
      <c r="B702" t="s">
        <v>9132</v>
      </c>
      <c r="C702" t="s">
        <v>74</v>
      </c>
      <c r="D702" t="s">
        <v>74</v>
      </c>
      <c r="E702" t="s">
        <v>74</v>
      </c>
      <c r="F702" t="s">
        <v>9132</v>
      </c>
      <c r="G702" t="s">
        <v>74</v>
      </c>
      <c r="H702" t="s">
        <v>74</v>
      </c>
      <c r="I702" t="s">
        <v>9133</v>
      </c>
      <c r="J702" t="s">
        <v>359</v>
      </c>
      <c r="K702" t="s">
        <v>74</v>
      </c>
      <c r="L702" t="s">
        <v>74</v>
      </c>
      <c r="M702" t="s">
        <v>77</v>
      </c>
      <c r="N702" t="s">
        <v>78</v>
      </c>
      <c r="O702" t="s">
        <v>74</v>
      </c>
      <c r="P702" t="s">
        <v>74</v>
      </c>
      <c r="Q702" t="s">
        <v>74</v>
      </c>
      <c r="R702" t="s">
        <v>74</v>
      </c>
      <c r="S702" t="s">
        <v>74</v>
      </c>
      <c r="T702" t="s">
        <v>74</v>
      </c>
      <c r="U702" t="s">
        <v>9134</v>
      </c>
      <c r="V702" t="s">
        <v>9135</v>
      </c>
      <c r="W702" t="s">
        <v>9136</v>
      </c>
      <c r="X702" t="s">
        <v>9137</v>
      </c>
      <c r="Y702" t="s">
        <v>9138</v>
      </c>
      <c r="Z702" t="s">
        <v>9139</v>
      </c>
      <c r="AA702" t="s">
        <v>74</v>
      </c>
      <c r="AB702" t="s">
        <v>74</v>
      </c>
      <c r="AC702" t="s">
        <v>74</v>
      </c>
      <c r="AD702" t="s">
        <v>74</v>
      </c>
      <c r="AE702" t="s">
        <v>74</v>
      </c>
      <c r="AF702" t="s">
        <v>74</v>
      </c>
      <c r="AG702">
        <v>27</v>
      </c>
      <c r="AH702">
        <v>59</v>
      </c>
      <c r="AI702">
        <v>62</v>
      </c>
      <c r="AJ702">
        <v>0</v>
      </c>
      <c r="AK702">
        <v>5</v>
      </c>
      <c r="AL702" t="s">
        <v>365</v>
      </c>
      <c r="AM702" t="s">
        <v>231</v>
      </c>
      <c r="AN702" t="s">
        <v>366</v>
      </c>
      <c r="AO702" t="s">
        <v>367</v>
      </c>
      <c r="AP702" t="s">
        <v>74</v>
      </c>
      <c r="AQ702" t="s">
        <v>74</v>
      </c>
      <c r="AR702" t="s">
        <v>368</v>
      </c>
      <c r="AS702" t="s">
        <v>369</v>
      </c>
      <c r="AT702" t="s">
        <v>8997</v>
      </c>
      <c r="AU702">
        <v>1999</v>
      </c>
      <c r="AV702">
        <v>103</v>
      </c>
      <c r="AW702">
        <v>13</v>
      </c>
      <c r="AX702" t="s">
        <v>74</v>
      </c>
      <c r="AY702" t="s">
        <v>74</v>
      </c>
      <c r="AZ702" t="s">
        <v>74</v>
      </c>
      <c r="BA702" t="s">
        <v>74</v>
      </c>
      <c r="BB702">
        <v>2044</v>
      </c>
      <c r="BC702">
        <v>2049</v>
      </c>
      <c r="BD702" t="s">
        <v>74</v>
      </c>
      <c r="BE702" t="s">
        <v>9140</v>
      </c>
      <c r="BF702" t="str">
        <f>HYPERLINK("http://dx.doi.org/10.1021/jp984106g","http://dx.doi.org/10.1021/jp984106g")</f>
        <v>http://dx.doi.org/10.1021/jp984106g</v>
      </c>
      <c r="BG702" t="s">
        <v>74</v>
      </c>
      <c r="BH702" t="s">
        <v>74</v>
      </c>
      <c r="BI702">
        <v>6</v>
      </c>
      <c r="BJ702" t="s">
        <v>372</v>
      </c>
      <c r="BK702" t="s">
        <v>96</v>
      </c>
      <c r="BL702" t="s">
        <v>373</v>
      </c>
      <c r="BM702" t="s">
        <v>9141</v>
      </c>
      <c r="BN702" t="s">
        <v>74</v>
      </c>
      <c r="BO702" t="s">
        <v>74</v>
      </c>
      <c r="BP702" t="s">
        <v>74</v>
      </c>
      <c r="BQ702" t="s">
        <v>74</v>
      </c>
      <c r="BR702" t="s">
        <v>99</v>
      </c>
      <c r="BS702" t="s">
        <v>9142</v>
      </c>
      <c r="BT702" t="str">
        <f>HYPERLINK("https%3A%2F%2Fwww.webofscience.com%2Fwos%2Fwoscc%2Ffull-record%2FWOS:000079611700016","View Full Record in Web of Science")</f>
        <v>View Full Record in Web of Science</v>
      </c>
    </row>
    <row r="703" spans="1:72" x14ac:dyDescent="0.15">
      <c r="A703" t="s">
        <v>72</v>
      </c>
      <c r="B703" t="s">
        <v>9143</v>
      </c>
      <c r="C703" t="s">
        <v>74</v>
      </c>
      <c r="D703" t="s">
        <v>74</v>
      </c>
      <c r="E703" t="s">
        <v>74</v>
      </c>
      <c r="F703" t="s">
        <v>9143</v>
      </c>
      <c r="G703" t="s">
        <v>74</v>
      </c>
      <c r="H703" t="s">
        <v>74</v>
      </c>
      <c r="I703" t="s">
        <v>9144</v>
      </c>
      <c r="J703" t="s">
        <v>359</v>
      </c>
      <c r="K703" t="s">
        <v>74</v>
      </c>
      <c r="L703" t="s">
        <v>74</v>
      </c>
      <c r="M703" t="s">
        <v>77</v>
      </c>
      <c r="N703" t="s">
        <v>78</v>
      </c>
      <c r="O703" t="s">
        <v>74</v>
      </c>
      <c r="P703" t="s">
        <v>74</v>
      </c>
      <c r="Q703" t="s">
        <v>74</v>
      </c>
      <c r="R703" t="s">
        <v>74</v>
      </c>
      <c r="S703" t="s">
        <v>74</v>
      </c>
      <c r="T703" t="s">
        <v>74</v>
      </c>
      <c r="U703" t="s">
        <v>9145</v>
      </c>
      <c r="V703" t="s">
        <v>9146</v>
      </c>
      <c r="W703" t="s">
        <v>450</v>
      </c>
      <c r="X703" t="s">
        <v>451</v>
      </c>
      <c r="Y703" t="s">
        <v>9147</v>
      </c>
      <c r="Z703" t="s">
        <v>74</v>
      </c>
      <c r="AA703" t="s">
        <v>9148</v>
      </c>
      <c r="AB703" t="s">
        <v>9149</v>
      </c>
      <c r="AC703" t="s">
        <v>74</v>
      </c>
      <c r="AD703" t="s">
        <v>74</v>
      </c>
      <c r="AE703" t="s">
        <v>74</v>
      </c>
      <c r="AF703" t="s">
        <v>74</v>
      </c>
      <c r="AG703">
        <v>41</v>
      </c>
      <c r="AH703">
        <v>56</v>
      </c>
      <c r="AI703">
        <v>59</v>
      </c>
      <c r="AJ703">
        <v>0</v>
      </c>
      <c r="AK703">
        <v>10</v>
      </c>
      <c r="AL703" t="s">
        <v>365</v>
      </c>
      <c r="AM703" t="s">
        <v>231</v>
      </c>
      <c r="AN703" t="s">
        <v>366</v>
      </c>
      <c r="AO703" t="s">
        <v>367</v>
      </c>
      <c r="AP703" t="s">
        <v>9150</v>
      </c>
      <c r="AQ703" t="s">
        <v>74</v>
      </c>
      <c r="AR703" t="s">
        <v>368</v>
      </c>
      <c r="AS703" t="s">
        <v>369</v>
      </c>
      <c r="AT703" t="s">
        <v>8997</v>
      </c>
      <c r="AU703">
        <v>1999</v>
      </c>
      <c r="AV703">
        <v>103</v>
      </c>
      <c r="AW703">
        <v>13</v>
      </c>
      <c r="AX703" t="s">
        <v>74</v>
      </c>
      <c r="AY703" t="s">
        <v>74</v>
      </c>
      <c r="AZ703" t="s">
        <v>74</v>
      </c>
      <c r="BA703" t="s">
        <v>74</v>
      </c>
      <c r="BB703">
        <v>2100</v>
      </c>
      <c r="BC703">
        <v>2106</v>
      </c>
      <c r="BD703" t="s">
        <v>74</v>
      </c>
      <c r="BE703" t="s">
        <v>9151</v>
      </c>
      <c r="BF703" t="str">
        <f>HYPERLINK("http://dx.doi.org/10.1021/jp9814045","http://dx.doi.org/10.1021/jp9814045")</f>
        <v>http://dx.doi.org/10.1021/jp9814045</v>
      </c>
      <c r="BG703" t="s">
        <v>74</v>
      </c>
      <c r="BH703" t="s">
        <v>74</v>
      </c>
      <c r="BI703">
        <v>7</v>
      </c>
      <c r="BJ703" t="s">
        <v>372</v>
      </c>
      <c r="BK703" t="s">
        <v>96</v>
      </c>
      <c r="BL703" t="s">
        <v>373</v>
      </c>
      <c r="BM703" t="s">
        <v>9141</v>
      </c>
      <c r="BN703" t="s">
        <v>74</v>
      </c>
      <c r="BO703" t="s">
        <v>74</v>
      </c>
      <c r="BP703" t="s">
        <v>74</v>
      </c>
      <c r="BQ703" t="s">
        <v>74</v>
      </c>
      <c r="BR703" t="s">
        <v>99</v>
      </c>
      <c r="BS703" t="s">
        <v>9152</v>
      </c>
      <c r="BT703" t="str">
        <f>HYPERLINK("https%3A%2F%2Fwww.webofscience.com%2Fwos%2Fwoscc%2Ffull-record%2FWOS:000079611700023","View Full Record in Web of Science")</f>
        <v>View Full Record in Web of Science</v>
      </c>
    </row>
    <row r="704" spans="1:72" x14ac:dyDescent="0.15">
      <c r="A704" t="s">
        <v>72</v>
      </c>
      <c r="B704" t="s">
        <v>9153</v>
      </c>
      <c r="C704" t="s">
        <v>74</v>
      </c>
      <c r="D704" t="s">
        <v>74</v>
      </c>
      <c r="E704" t="s">
        <v>74</v>
      </c>
      <c r="F704" t="s">
        <v>9153</v>
      </c>
      <c r="G704" t="s">
        <v>74</v>
      </c>
      <c r="H704" t="s">
        <v>74</v>
      </c>
      <c r="I704" t="s">
        <v>9154</v>
      </c>
      <c r="J704" t="s">
        <v>1100</v>
      </c>
      <c r="K704" t="s">
        <v>74</v>
      </c>
      <c r="L704" t="s">
        <v>74</v>
      </c>
      <c r="M704" t="s">
        <v>77</v>
      </c>
      <c r="N704" t="s">
        <v>78</v>
      </c>
      <c r="O704" t="s">
        <v>74</v>
      </c>
      <c r="P704" t="s">
        <v>74</v>
      </c>
      <c r="Q704" t="s">
        <v>74</v>
      </c>
      <c r="R704" t="s">
        <v>74</v>
      </c>
      <c r="S704" t="s">
        <v>74</v>
      </c>
      <c r="T704" t="s">
        <v>74</v>
      </c>
      <c r="U704" t="s">
        <v>9155</v>
      </c>
      <c r="V704" t="s">
        <v>9156</v>
      </c>
      <c r="W704" t="s">
        <v>9157</v>
      </c>
      <c r="X704" t="s">
        <v>9158</v>
      </c>
      <c r="Y704" t="s">
        <v>9159</v>
      </c>
      <c r="Z704" t="s">
        <v>9160</v>
      </c>
      <c r="AA704" t="s">
        <v>9161</v>
      </c>
      <c r="AB704" t="s">
        <v>9162</v>
      </c>
      <c r="AC704" t="s">
        <v>74</v>
      </c>
      <c r="AD704" t="s">
        <v>74</v>
      </c>
      <c r="AE704" t="s">
        <v>74</v>
      </c>
      <c r="AF704" t="s">
        <v>74</v>
      </c>
      <c r="AG704">
        <v>37</v>
      </c>
      <c r="AH704">
        <v>10</v>
      </c>
      <c r="AI704">
        <v>11</v>
      </c>
      <c r="AJ704">
        <v>0</v>
      </c>
      <c r="AK704">
        <v>0</v>
      </c>
      <c r="AL704" t="s">
        <v>86</v>
      </c>
      <c r="AM704" t="s">
        <v>87</v>
      </c>
      <c r="AN704" t="s">
        <v>88</v>
      </c>
      <c r="AO704" t="s">
        <v>1106</v>
      </c>
      <c r="AP704" t="s">
        <v>2302</v>
      </c>
      <c r="AQ704" t="s">
        <v>74</v>
      </c>
      <c r="AR704" t="s">
        <v>1107</v>
      </c>
      <c r="AS704" t="s">
        <v>1108</v>
      </c>
      <c r="AT704" t="s">
        <v>8636</v>
      </c>
      <c r="AU704">
        <v>1999</v>
      </c>
      <c r="AV704">
        <v>29</v>
      </c>
      <c r="AW704">
        <v>4</v>
      </c>
      <c r="AX704" t="s">
        <v>74</v>
      </c>
      <c r="AY704" t="s">
        <v>74</v>
      </c>
      <c r="AZ704" t="s">
        <v>74</v>
      </c>
      <c r="BA704" t="s">
        <v>74</v>
      </c>
      <c r="BB704">
        <v>671</v>
      </c>
      <c r="BC704">
        <v>692</v>
      </c>
      <c r="BD704" t="s">
        <v>74</v>
      </c>
      <c r="BE704" t="s">
        <v>9163</v>
      </c>
      <c r="BF704" t="str">
        <f>HYPERLINK("http://dx.doi.org/10.1175/1520-0485(1999)029&lt;0671:AOMEIG&gt;2.0.CO;2","http://dx.doi.org/10.1175/1520-0485(1999)029&lt;0671:AOMEIG&gt;2.0.CO;2")</f>
        <v>http://dx.doi.org/10.1175/1520-0485(1999)029&lt;0671:AOMEIG&gt;2.0.CO;2</v>
      </c>
      <c r="BG704" t="s">
        <v>74</v>
      </c>
      <c r="BH704" t="s">
        <v>74</v>
      </c>
      <c r="BI704">
        <v>22</v>
      </c>
      <c r="BJ704" t="s">
        <v>416</v>
      </c>
      <c r="BK704" t="s">
        <v>96</v>
      </c>
      <c r="BL704" t="s">
        <v>416</v>
      </c>
      <c r="BM704" t="s">
        <v>9164</v>
      </c>
      <c r="BN704" t="s">
        <v>74</v>
      </c>
      <c r="BO704" t="s">
        <v>98</v>
      </c>
      <c r="BP704" t="s">
        <v>74</v>
      </c>
      <c r="BQ704" t="s">
        <v>74</v>
      </c>
      <c r="BR704" t="s">
        <v>99</v>
      </c>
      <c r="BS704" t="s">
        <v>9165</v>
      </c>
      <c r="BT704" t="str">
        <f>HYPERLINK("https%3A%2F%2Fwww.webofscience.com%2Fwos%2Fwoscc%2Ffull-record%2FWOS:000079809900008","View Full Record in Web of Science")</f>
        <v>View Full Record in Web of Science</v>
      </c>
    </row>
    <row r="705" spans="1:72" x14ac:dyDescent="0.15">
      <c r="A705" t="s">
        <v>72</v>
      </c>
      <c r="B705" t="s">
        <v>9166</v>
      </c>
      <c r="C705" t="s">
        <v>74</v>
      </c>
      <c r="D705" t="s">
        <v>74</v>
      </c>
      <c r="E705" t="s">
        <v>74</v>
      </c>
      <c r="F705" t="s">
        <v>9166</v>
      </c>
      <c r="G705" t="s">
        <v>74</v>
      </c>
      <c r="H705" t="s">
        <v>74</v>
      </c>
      <c r="I705" t="s">
        <v>9167</v>
      </c>
      <c r="J705" t="s">
        <v>9168</v>
      </c>
      <c r="K705" t="s">
        <v>74</v>
      </c>
      <c r="L705" t="s">
        <v>74</v>
      </c>
      <c r="M705" t="s">
        <v>77</v>
      </c>
      <c r="N705" t="s">
        <v>78</v>
      </c>
      <c r="O705" t="s">
        <v>74</v>
      </c>
      <c r="P705" t="s">
        <v>74</v>
      </c>
      <c r="Q705" t="s">
        <v>74</v>
      </c>
      <c r="R705" t="s">
        <v>74</v>
      </c>
      <c r="S705" t="s">
        <v>74</v>
      </c>
      <c r="T705" t="s">
        <v>9169</v>
      </c>
      <c r="U705" t="s">
        <v>9170</v>
      </c>
      <c r="V705" t="s">
        <v>9171</v>
      </c>
      <c r="W705" t="s">
        <v>9172</v>
      </c>
      <c r="X705" t="s">
        <v>9173</v>
      </c>
      <c r="Y705" t="s">
        <v>9174</v>
      </c>
      <c r="Z705" t="s">
        <v>74</v>
      </c>
      <c r="AA705" t="s">
        <v>9175</v>
      </c>
      <c r="AB705" t="s">
        <v>9176</v>
      </c>
      <c r="AC705" t="s">
        <v>74</v>
      </c>
      <c r="AD705" t="s">
        <v>74</v>
      </c>
      <c r="AE705" t="s">
        <v>74</v>
      </c>
      <c r="AF705" t="s">
        <v>74</v>
      </c>
      <c r="AG705">
        <v>26</v>
      </c>
      <c r="AH705">
        <v>3</v>
      </c>
      <c r="AI705">
        <v>3</v>
      </c>
      <c r="AJ705">
        <v>0</v>
      </c>
      <c r="AK705">
        <v>8</v>
      </c>
      <c r="AL705" t="s">
        <v>4130</v>
      </c>
      <c r="AM705" t="s">
        <v>4131</v>
      </c>
      <c r="AN705" t="s">
        <v>4132</v>
      </c>
      <c r="AO705" t="s">
        <v>9177</v>
      </c>
      <c r="AP705" t="s">
        <v>74</v>
      </c>
      <c r="AQ705" t="s">
        <v>74</v>
      </c>
      <c r="AR705" t="s">
        <v>9178</v>
      </c>
      <c r="AS705" t="s">
        <v>9179</v>
      </c>
      <c r="AT705" t="s">
        <v>8636</v>
      </c>
      <c r="AU705">
        <v>1999</v>
      </c>
      <c r="AV705">
        <v>31</v>
      </c>
      <c r="AW705">
        <v>2</v>
      </c>
      <c r="AX705" t="s">
        <v>74</v>
      </c>
      <c r="AY705" t="s">
        <v>74</v>
      </c>
      <c r="AZ705" t="s">
        <v>74</v>
      </c>
      <c r="BA705" t="s">
        <v>74</v>
      </c>
      <c r="BB705">
        <v>197</v>
      </c>
      <c r="BC705">
        <v>202</v>
      </c>
      <c r="BD705" t="s">
        <v>74</v>
      </c>
      <c r="BE705" t="s">
        <v>74</v>
      </c>
      <c r="BF705" t="s">
        <v>74</v>
      </c>
      <c r="BG705" t="s">
        <v>74</v>
      </c>
      <c r="BH705" t="s">
        <v>74</v>
      </c>
      <c r="BI705">
        <v>6</v>
      </c>
      <c r="BJ705" t="s">
        <v>9180</v>
      </c>
      <c r="BK705" t="s">
        <v>96</v>
      </c>
      <c r="BL705" t="s">
        <v>9180</v>
      </c>
      <c r="BM705" t="s">
        <v>9181</v>
      </c>
      <c r="BN705" t="s">
        <v>74</v>
      </c>
      <c r="BO705" t="s">
        <v>74</v>
      </c>
      <c r="BP705" t="s">
        <v>74</v>
      </c>
      <c r="BQ705" t="s">
        <v>74</v>
      </c>
      <c r="BR705" t="s">
        <v>99</v>
      </c>
      <c r="BS705" t="s">
        <v>9182</v>
      </c>
      <c r="BT705" t="str">
        <f>HYPERLINK("https%3A%2F%2Fwww.webofscience.com%2Fwos%2Fwoscc%2Ffull-record%2FWOS:000083119200004","View Full Record in Web of Science")</f>
        <v>View Full Record in Web of Science</v>
      </c>
    </row>
    <row r="706" spans="1:72" x14ac:dyDescent="0.15">
      <c r="A706" t="s">
        <v>72</v>
      </c>
      <c r="B706" t="s">
        <v>9183</v>
      </c>
      <c r="C706" t="s">
        <v>74</v>
      </c>
      <c r="D706" t="s">
        <v>74</v>
      </c>
      <c r="E706" t="s">
        <v>74</v>
      </c>
      <c r="F706" t="s">
        <v>9183</v>
      </c>
      <c r="G706" t="s">
        <v>74</v>
      </c>
      <c r="H706" t="s">
        <v>74</v>
      </c>
      <c r="I706" t="s">
        <v>9184</v>
      </c>
      <c r="J706" t="s">
        <v>9185</v>
      </c>
      <c r="K706" t="s">
        <v>74</v>
      </c>
      <c r="L706" t="s">
        <v>74</v>
      </c>
      <c r="M706" t="s">
        <v>77</v>
      </c>
      <c r="N706" t="s">
        <v>78</v>
      </c>
      <c r="O706" t="s">
        <v>74</v>
      </c>
      <c r="P706" t="s">
        <v>74</v>
      </c>
      <c r="Q706" t="s">
        <v>74</v>
      </c>
      <c r="R706" t="s">
        <v>74</v>
      </c>
      <c r="S706" t="s">
        <v>74</v>
      </c>
      <c r="T706" t="s">
        <v>74</v>
      </c>
      <c r="U706" t="s">
        <v>9186</v>
      </c>
      <c r="V706" t="s">
        <v>9187</v>
      </c>
      <c r="W706" t="s">
        <v>9188</v>
      </c>
      <c r="X706" t="s">
        <v>3626</v>
      </c>
      <c r="Y706" t="s">
        <v>9189</v>
      </c>
      <c r="Z706" t="s">
        <v>74</v>
      </c>
      <c r="AA706" t="s">
        <v>9190</v>
      </c>
      <c r="AB706" t="s">
        <v>9191</v>
      </c>
      <c r="AC706" t="s">
        <v>74</v>
      </c>
      <c r="AD706" t="s">
        <v>74</v>
      </c>
      <c r="AE706" t="s">
        <v>74</v>
      </c>
      <c r="AF706" t="s">
        <v>74</v>
      </c>
      <c r="AG706">
        <v>39</v>
      </c>
      <c r="AH706">
        <v>66</v>
      </c>
      <c r="AI706">
        <v>69</v>
      </c>
      <c r="AJ706">
        <v>0</v>
      </c>
      <c r="AK706">
        <v>8</v>
      </c>
      <c r="AL706" t="s">
        <v>9192</v>
      </c>
      <c r="AM706" t="s">
        <v>9193</v>
      </c>
      <c r="AN706" t="s">
        <v>9194</v>
      </c>
      <c r="AO706" t="s">
        <v>9195</v>
      </c>
      <c r="AP706" t="s">
        <v>74</v>
      </c>
      <c r="AQ706" t="s">
        <v>74</v>
      </c>
      <c r="AR706" t="s">
        <v>9196</v>
      </c>
      <c r="AS706" t="s">
        <v>9197</v>
      </c>
      <c r="AT706" t="s">
        <v>8636</v>
      </c>
      <c r="AU706">
        <v>1999</v>
      </c>
      <c r="AV706">
        <v>105</v>
      </c>
      <c r="AW706">
        <v>4</v>
      </c>
      <c r="AX706" t="s">
        <v>74</v>
      </c>
      <c r="AY706" t="s">
        <v>74</v>
      </c>
      <c r="AZ706" t="s">
        <v>74</v>
      </c>
      <c r="BA706" t="s">
        <v>74</v>
      </c>
      <c r="BB706">
        <v>2359</v>
      </c>
      <c r="BC706">
        <v>2376</v>
      </c>
      <c r="BD706" t="s">
        <v>74</v>
      </c>
      <c r="BE706" t="s">
        <v>9198</v>
      </c>
      <c r="BF706" t="str">
        <f>HYPERLINK("http://dx.doi.org/10.1121/1.426841","http://dx.doi.org/10.1121/1.426841")</f>
        <v>http://dx.doi.org/10.1121/1.426841</v>
      </c>
      <c r="BG706" t="s">
        <v>74</v>
      </c>
      <c r="BH706" t="s">
        <v>74</v>
      </c>
      <c r="BI706">
        <v>18</v>
      </c>
      <c r="BJ706" t="s">
        <v>9199</v>
      </c>
      <c r="BK706" t="s">
        <v>96</v>
      </c>
      <c r="BL706" t="s">
        <v>9199</v>
      </c>
      <c r="BM706" t="s">
        <v>9200</v>
      </c>
      <c r="BN706" t="s">
        <v>74</v>
      </c>
      <c r="BO706" t="s">
        <v>74</v>
      </c>
      <c r="BP706" t="s">
        <v>74</v>
      </c>
      <c r="BQ706" t="s">
        <v>74</v>
      </c>
      <c r="BR706" t="s">
        <v>99</v>
      </c>
      <c r="BS706" t="s">
        <v>9201</v>
      </c>
      <c r="BT706" t="str">
        <f>HYPERLINK("https%3A%2F%2Fwww.webofscience.com%2Fwos%2Fwoscc%2Ffull-record%2FWOS:000079837000031","View Full Record in Web of Science")</f>
        <v>View Full Record in Web of Science</v>
      </c>
    </row>
    <row r="707" spans="1:72" x14ac:dyDescent="0.15">
      <c r="A707" t="s">
        <v>72</v>
      </c>
      <c r="B707" t="s">
        <v>9202</v>
      </c>
      <c r="C707" t="s">
        <v>74</v>
      </c>
      <c r="D707" t="s">
        <v>74</v>
      </c>
      <c r="E707" t="s">
        <v>74</v>
      </c>
      <c r="F707" t="s">
        <v>9202</v>
      </c>
      <c r="G707" t="s">
        <v>74</v>
      </c>
      <c r="H707" t="s">
        <v>74</v>
      </c>
      <c r="I707" t="s">
        <v>9203</v>
      </c>
      <c r="J707" t="s">
        <v>9204</v>
      </c>
      <c r="K707" t="s">
        <v>74</v>
      </c>
      <c r="L707" t="s">
        <v>74</v>
      </c>
      <c r="M707" t="s">
        <v>77</v>
      </c>
      <c r="N707" t="s">
        <v>123</v>
      </c>
      <c r="O707" t="s">
        <v>9205</v>
      </c>
      <c r="P707" t="s">
        <v>9206</v>
      </c>
      <c r="Q707" t="s">
        <v>9207</v>
      </c>
      <c r="R707" t="s">
        <v>74</v>
      </c>
      <c r="S707" t="s">
        <v>74</v>
      </c>
      <c r="T707" t="s">
        <v>9208</v>
      </c>
      <c r="U707" t="s">
        <v>9209</v>
      </c>
      <c r="V707" t="s">
        <v>9210</v>
      </c>
      <c r="W707" t="s">
        <v>151</v>
      </c>
      <c r="X707" t="s">
        <v>131</v>
      </c>
      <c r="Y707" t="s">
        <v>9211</v>
      </c>
      <c r="Z707" t="s">
        <v>74</v>
      </c>
      <c r="AA707" t="s">
        <v>74</v>
      </c>
      <c r="AB707" t="s">
        <v>74</v>
      </c>
      <c r="AC707" t="s">
        <v>74</v>
      </c>
      <c r="AD707" t="s">
        <v>74</v>
      </c>
      <c r="AE707" t="s">
        <v>74</v>
      </c>
      <c r="AF707" t="s">
        <v>74</v>
      </c>
      <c r="AG707">
        <v>43</v>
      </c>
      <c r="AH707">
        <v>47</v>
      </c>
      <c r="AI707">
        <v>52</v>
      </c>
      <c r="AJ707">
        <v>2</v>
      </c>
      <c r="AK707">
        <v>15</v>
      </c>
      <c r="AL707" t="s">
        <v>9212</v>
      </c>
      <c r="AM707" t="s">
        <v>9213</v>
      </c>
      <c r="AN707" t="s">
        <v>9214</v>
      </c>
      <c r="AO707" t="s">
        <v>9215</v>
      </c>
      <c r="AP707" t="s">
        <v>74</v>
      </c>
      <c r="AQ707" t="s">
        <v>74</v>
      </c>
      <c r="AR707" t="s">
        <v>9216</v>
      </c>
      <c r="AS707" t="s">
        <v>9217</v>
      </c>
      <c r="AT707" t="s">
        <v>8636</v>
      </c>
      <c r="AU707">
        <v>1999</v>
      </c>
      <c r="AV707">
        <v>10</v>
      </c>
      <c r="AW707">
        <v>2</v>
      </c>
      <c r="AX707" t="s">
        <v>74</v>
      </c>
      <c r="AY707" t="s">
        <v>74</v>
      </c>
      <c r="AZ707" t="s">
        <v>74</v>
      </c>
      <c r="BA707" t="s">
        <v>74</v>
      </c>
      <c r="BB707">
        <v>231</v>
      </c>
      <c r="BC707">
        <v>242</v>
      </c>
      <c r="BD707" t="s">
        <v>74</v>
      </c>
      <c r="BE707" t="s">
        <v>74</v>
      </c>
      <c r="BF707" t="s">
        <v>74</v>
      </c>
      <c r="BG707" t="s">
        <v>74</v>
      </c>
      <c r="BH707" t="s">
        <v>74</v>
      </c>
      <c r="BI707">
        <v>12</v>
      </c>
      <c r="BJ707" t="s">
        <v>9218</v>
      </c>
      <c r="BK707" t="s">
        <v>143</v>
      </c>
      <c r="BL707" t="s">
        <v>9219</v>
      </c>
      <c r="BM707" t="s">
        <v>9220</v>
      </c>
      <c r="BN707" t="s">
        <v>74</v>
      </c>
      <c r="BO707" t="s">
        <v>74</v>
      </c>
      <c r="BP707" t="s">
        <v>74</v>
      </c>
      <c r="BQ707" t="s">
        <v>74</v>
      </c>
      <c r="BR707" t="s">
        <v>99</v>
      </c>
      <c r="BS707" t="s">
        <v>9221</v>
      </c>
      <c r="BT707" t="str">
        <f>HYPERLINK("https%3A%2F%2Fwww.webofscience.com%2Fwos%2Fwoscc%2Ffull-record%2FWOS:000080399200009","View Full Record in Web of Science")</f>
        <v>View Full Record in Web of Science</v>
      </c>
    </row>
    <row r="708" spans="1:72" x14ac:dyDescent="0.15">
      <c r="A708" t="s">
        <v>72</v>
      </c>
      <c r="B708" t="s">
        <v>9222</v>
      </c>
      <c r="C708" t="s">
        <v>74</v>
      </c>
      <c r="D708" t="s">
        <v>74</v>
      </c>
      <c r="E708" t="s">
        <v>74</v>
      </c>
      <c r="F708" t="s">
        <v>9222</v>
      </c>
      <c r="G708" t="s">
        <v>74</v>
      </c>
      <c r="H708" t="s">
        <v>74</v>
      </c>
      <c r="I708" t="s">
        <v>9223</v>
      </c>
      <c r="J708" t="s">
        <v>3621</v>
      </c>
      <c r="K708" t="s">
        <v>74</v>
      </c>
      <c r="L708" t="s">
        <v>74</v>
      </c>
      <c r="M708" t="s">
        <v>77</v>
      </c>
      <c r="N708" t="s">
        <v>78</v>
      </c>
      <c r="O708" t="s">
        <v>74</v>
      </c>
      <c r="P708" t="s">
        <v>74</v>
      </c>
      <c r="Q708" t="s">
        <v>74</v>
      </c>
      <c r="R708" t="s">
        <v>74</v>
      </c>
      <c r="S708" t="s">
        <v>74</v>
      </c>
      <c r="T708" t="s">
        <v>9224</v>
      </c>
      <c r="U708" t="s">
        <v>9225</v>
      </c>
      <c r="V708" t="s">
        <v>9226</v>
      </c>
      <c r="W708" t="s">
        <v>9227</v>
      </c>
      <c r="X708" t="s">
        <v>5319</v>
      </c>
      <c r="Y708" t="s">
        <v>9228</v>
      </c>
      <c r="Z708" t="s">
        <v>74</v>
      </c>
      <c r="AA708" t="s">
        <v>74</v>
      </c>
      <c r="AB708" t="s">
        <v>74</v>
      </c>
      <c r="AC708" t="s">
        <v>74</v>
      </c>
      <c r="AD708" t="s">
        <v>74</v>
      </c>
      <c r="AE708" t="s">
        <v>74</v>
      </c>
      <c r="AF708" t="s">
        <v>74</v>
      </c>
      <c r="AG708">
        <v>28</v>
      </c>
      <c r="AH708">
        <v>26</v>
      </c>
      <c r="AI708">
        <v>32</v>
      </c>
      <c r="AJ708">
        <v>1</v>
      </c>
      <c r="AK708">
        <v>28</v>
      </c>
      <c r="AL708" t="s">
        <v>2057</v>
      </c>
      <c r="AM708" t="s">
        <v>554</v>
      </c>
      <c r="AN708" t="s">
        <v>2058</v>
      </c>
      <c r="AO708" t="s">
        <v>3630</v>
      </c>
      <c r="AP708" t="s">
        <v>74</v>
      </c>
      <c r="AQ708" t="s">
        <v>74</v>
      </c>
      <c r="AR708" t="s">
        <v>3631</v>
      </c>
      <c r="AS708" t="s">
        <v>3632</v>
      </c>
      <c r="AT708" t="s">
        <v>8636</v>
      </c>
      <c r="AU708">
        <v>1999</v>
      </c>
      <c r="AV708">
        <v>247</v>
      </c>
      <c r="AW708" t="s">
        <v>74</v>
      </c>
      <c r="AX708">
        <v>4</v>
      </c>
      <c r="AY708" t="s">
        <v>74</v>
      </c>
      <c r="AZ708" t="s">
        <v>74</v>
      </c>
      <c r="BA708" t="s">
        <v>74</v>
      </c>
      <c r="BB708">
        <v>429</v>
      </c>
      <c r="BC708">
        <v>438</v>
      </c>
      <c r="BD708" t="s">
        <v>74</v>
      </c>
      <c r="BE708" t="s">
        <v>9229</v>
      </c>
      <c r="BF708" t="str">
        <f>HYPERLINK("http://dx.doi.org/10.1111/j.1469-7998.1999.tb01006.x","http://dx.doi.org/10.1111/j.1469-7998.1999.tb01006.x")</f>
        <v>http://dx.doi.org/10.1111/j.1469-7998.1999.tb01006.x</v>
      </c>
      <c r="BG708" t="s">
        <v>74</v>
      </c>
      <c r="BH708" t="s">
        <v>74</v>
      </c>
      <c r="BI708">
        <v>10</v>
      </c>
      <c r="BJ708" t="s">
        <v>142</v>
      </c>
      <c r="BK708" t="s">
        <v>96</v>
      </c>
      <c r="BL708" t="s">
        <v>142</v>
      </c>
      <c r="BM708" t="s">
        <v>9230</v>
      </c>
      <c r="BN708" t="s">
        <v>74</v>
      </c>
      <c r="BO708" t="s">
        <v>74</v>
      </c>
      <c r="BP708" t="s">
        <v>74</v>
      </c>
      <c r="BQ708" t="s">
        <v>74</v>
      </c>
      <c r="BR708" t="s">
        <v>99</v>
      </c>
      <c r="BS708" t="s">
        <v>9231</v>
      </c>
      <c r="BT708" t="str">
        <f>HYPERLINK("https%3A%2F%2Fwww.webofscience.com%2Fwos%2Fwoscc%2Ffull-record%2FWOS:000080269000002","View Full Record in Web of Science")</f>
        <v>View Full Record in Web of Science</v>
      </c>
    </row>
    <row r="709" spans="1:72" x14ac:dyDescent="0.15">
      <c r="A709" t="s">
        <v>72</v>
      </c>
      <c r="B709" t="s">
        <v>9232</v>
      </c>
      <c r="C709" t="s">
        <v>74</v>
      </c>
      <c r="D709" t="s">
        <v>74</v>
      </c>
      <c r="E709" t="s">
        <v>74</v>
      </c>
      <c r="F709" t="s">
        <v>9232</v>
      </c>
      <c r="G709" t="s">
        <v>74</v>
      </c>
      <c r="H709" t="s">
        <v>74</v>
      </c>
      <c r="I709" t="s">
        <v>9233</v>
      </c>
      <c r="J709" t="s">
        <v>9234</v>
      </c>
      <c r="K709" t="s">
        <v>74</v>
      </c>
      <c r="L709" t="s">
        <v>74</v>
      </c>
      <c r="M709" t="s">
        <v>77</v>
      </c>
      <c r="N709" t="s">
        <v>78</v>
      </c>
      <c r="O709" t="s">
        <v>74</v>
      </c>
      <c r="P709" t="s">
        <v>74</v>
      </c>
      <c r="Q709" t="s">
        <v>74</v>
      </c>
      <c r="R709" t="s">
        <v>74</v>
      </c>
      <c r="S709" t="s">
        <v>74</v>
      </c>
      <c r="T709" t="s">
        <v>74</v>
      </c>
      <c r="U709" t="s">
        <v>9235</v>
      </c>
      <c r="V709" t="s">
        <v>9236</v>
      </c>
      <c r="W709" t="s">
        <v>9237</v>
      </c>
      <c r="X709" t="s">
        <v>798</v>
      </c>
      <c r="Y709" t="s">
        <v>9238</v>
      </c>
      <c r="Z709" t="s">
        <v>74</v>
      </c>
      <c r="AA709" t="s">
        <v>9239</v>
      </c>
      <c r="AB709" t="s">
        <v>801</v>
      </c>
      <c r="AC709" t="s">
        <v>74</v>
      </c>
      <c r="AD709" t="s">
        <v>74</v>
      </c>
      <c r="AE709" t="s">
        <v>74</v>
      </c>
      <c r="AF709" t="s">
        <v>74</v>
      </c>
      <c r="AG709">
        <v>29</v>
      </c>
      <c r="AH709">
        <v>11</v>
      </c>
      <c r="AI709">
        <v>11</v>
      </c>
      <c r="AJ709">
        <v>1</v>
      </c>
      <c r="AK709">
        <v>5</v>
      </c>
      <c r="AL709" t="s">
        <v>9240</v>
      </c>
      <c r="AM709" t="s">
        <v>9241</v>
      </c>
      <c r="AN709" t="s">
        <v>9242</v>
      </c>
      <c r="AO709" t="s">
        <v>9243</v>
      </c>
      <c r="AP709" t="s">
        <v>74</v>
      </c>
      <c r="AQ709" t="s">
        <v>74</v>
      </c>
      <c r="AR709" t="s">
        <v>9234</v>
      </c>
      <c r="AS709" t="s">
        <v>9244</v>
      </c>
      <c r="AT709" t="s">
        <v>8636</v>
      </c>
      <c r="AU709">
        <v>1999</v>
      </c>
      <c r="AV709">
        <v>34</v>
      </c>
      <c r="AW709">
        <v>4</v>
      </c>
      <c r="AX709" t="s">
        <v>74</v>
      </c>
      <c r="AY709" t="s">
        <v>74</v>
      </c>
      <c r="AZ709" t="s">
        <v>74</v>
      </c>
      <c r="BA709" t="s">
        <v>74</v>
      </c>
      <c r="BB709">
        <v>423</v>
      </c>
      <c r="BC709">
        <v>427</v>
      </c>
      <c r="BD709" t="s">
        <v>74</v>
      </c>
      <c r="BE709" t="s">
        <v>9245</v>
      </c>
      <c r="BF709" t="str">
        <f>HYPERLINK("http://dx.doi.org/10.1007/s11745-999-0381-9","http://dx.doi.org/10.1007/s11745-999-0381-9")</f>
        <v>http://dx.doi.org/10.1007/s11745-999-0381-9</v>
      </c>
      <c r="BG709" t="s">
        <v>74</v>
      </c>
      <c r="BH709" t="s">
        <v>74</v>
      </c>
      <c r="BI709">
        <v>5</v>
      </c>
      <c r="BJ709" t="s">
        <v>9246</v>
      </c>
      <c r="BK709" t="s">
        <v>96</v>
      </c>
      <c r="BL709" t="s">
        <v>9246</v>
      </c>
      <c r="BM709" t="s">
        <v>9247</v>
      </c>
      <c r="BN709">
        <v>10443976</v>
      </c>
      <c r="BO709" t="s">
        <v>74</v>
      </c>
      <c r="BP709" t="s">
        <v>74</v>
      </c>
      <c r="BQ709" t="s">
        <v>74</v>
      </c>
      <c r="BR709" t="s">
        <v>99</v>
      </c>
      <c r="BS709" t="s">
        <v>9248</v>
      </c>
      <c r="BT709" t="str">
        <f>HYPERLINK("https%3A%2F%2Fwww.webofscience.com%2Fwos%2Fwoscc%2Ffull-record%2FWOS:000080225300013","View Full Record in Web of Science")</f>
        <v>View Full Record in Web of Science</v>
      </c>
    </row>
    <row r="710" spans="1:72" x14ac:dyDescent="0.15">
      <c r="A710" t="s">
        <v>72</v>
      </c>
      <c r="B710" t="s">
        <v>9249</v>
      </c>
      <c r="C710" t="s">
        <v>74</v>
      </c>
      <c r="D710" t="s">
        <v>74</v>
      </c>
      <c r="E710" t="s">
        <v>74</v>
      </c>
      <c r="F710" t="s">
        <v>9249</v>
      </c>
      <c r="G710" t="s">
        <v>74</v>
      </c>
      <c r="H710" t="s">
        <v>74</v>
      </c>
      <c r="I710" t="s">
        <v>9250</v>
      </c>
      <c r="J710" t="s">
        <v>9251</v>
      </c>
      <c r="K710" t="s">
        <v>74</v>
      </c>
      <c r="L710" t="s">
        <v>74</v>
      </c>
      <c r="M710" t="s">
        <v>77</v>
      </c>
      <c r="N710" t="s">
        <v>9252</v>
      </c>
      <c r="O710" t="s">
        <v>74</v>
      </c>
      <c r="P710" t="s">
        <v>74</v>
      </c>
      <c r="Q710" t="s">
        <v>74</v>
      </c>
      <c r="R710" t="s">
        <v>74</v>
      </c>
      <c r="S710" t="s">
        <v>74</v>
      </c>
      <c r="T710" t="s">
        <v>74</v>
      </c>
      <c r="U710" t="s">
        <v>74</v>
      </c>
      <c r="V710" t="s">
        <v>74</v>
      </c>
      <c r="W710" t="s">
        <v>74</v>
      </c>
      <c r="X710" t="s">
        <v>74</v>
      </c>
      <c r="Y710" t="s">
        <v>74</v>
      </c>
      <c r="Z710" t="s">
        <v>74</v>
      </c>
      <c r="AA710" t="s">
        <v>74</v>
      </c>
      <c r="AB710" t="s">
        <v>74</v>
      </c>
      <c r="AC710" t="s">
        <v>74</v>
      </c>
      <c r="AD710" t="s">
        <v>74</v>
      </c>
      <c r="AE710" t="s">
        <v>74</v>
      </c>
      <c r="AF710" t="s">
        <v>74</v>
      </c>
      <c r="AG710">
        <v>3</v>
      </c>
      <c r="AH710">
        <v>0</v>
      </c>
      <c r="AI710">
        <v>0</v>
      </c>
      <c r="AJ710">
        <v>0</v>
      </c>
      <c r="AK710">
        <v>0</v>
      </c>
      <c r="AL710" t="s">
        <v>9253</v>
      </c>
      <c r="AM710" t="s">
        <v>554</v>
      </c>
      <c r="AN710" t="s">
        <v>9254</v>
      </c>
      <c r="AO710" t="s">
        <v>9255</v>
      </c>
      <c r="AP710" t="s">
        <v>74</v>
      </c>
      <c r="AQ710" t="s">
        <v>74</v>
      </c>
      <c r="AR710" t="s">
        <v>9256</v>
      </c>
      <c r="AS710" t="s">
        <v>9257</v>
      </c>
      <c r="AT710" t="s">
        <v>8636</v>
      </c>
      <c r="AU710">
        <v>1999</v>
      </c>
      <c r="AV710">
        <v>155</v>
      </c>
      <c r="AW710">
        <v>4</v>
      </c>
      <c r="AX710" t="s">
        <v>74</v>
      </c>
      <c r="AY710" t="s">
        <v>74</v>
      </c>
      <c r="AZ710" t="s">
        <v>74</v>
      </c>
      <c r="BA710" t="s">
        <v>74</v>
      </c>
      <c r="BB710">
        <v>488</v>
      </c>
      <c r="BC710">
        <v>488</v>
      </c>
      <c r="BD710" t="s">
        <v>74</v>
      </c>
      <c r="BE710" t="s">
        <v>74</v>
      </c>
      <c r="BF710" t="s">
        <v>74</v>
      </c>
      <c r="BG710" t="s">
        <v>74</v>
      </c>
      <c r="BH710" t="s">
        <v>74</v>
      </c>
      <c r="BI710">
        <v>1</v>
      </c>
      <c r="BJ710" t="s">
        <v>9258</v>
      </c>
      <c r="BK710" t="s">
        <v>1281</v>
      </c>
      <c r="BL710" t="s">
        <v>9258</v>
      </c>
      <c r="BM710" t="s">
        <v>9259</v>
      </c>
      <c r="BN710" t="s">
        <v>74</v>
      </c>
      <c r="BO710" t="s">
        <v>74</v>
      </c>
      <c r="BP710" t="s">
        <v>74</v>
      </c>
      <c r="BQ710" t="s">
        <v>74</v>
      </c>
      <c r="BR710" t="s">
        <v>99</v>
      </c>
      <c r="BS710" t="s">
        <v>9260</v>
      </c>
      <c r="BT710" t="str">
        <f>HYPERLINK("https%3A%2F%2Fwww.webofscience.com%2Fwos%2Fwoscc%2Ffull-record%2FWOS:000079317600001","View Full Record in Web of Science")</f>
        <v>View Full Record in Web of Science</v>
      </c>
    </row>
    <row r="711" spans="1:72" x14ac:dyDescent="0.15">
      <c r="A711" t="s">
        <v>72</v>
      </c>
      <c r="B711" t="s">
        <v>9261</v>
      </c>
      <c r="C711" t="s">
        <v>74</v>
      </c>
      <c r="D711" t="s">
        <v>74</v>
      </c>
      <c r="E711" t="s">
        <v>74</v>
      </c>
      <c r="F711" t="s">
        <v>9261</v>
      </c>
      <c r="G711" t="s">
        <v>74</v>
      </c>
      <c r="H711" t="s">
        <v>74</v>
      </c>
      <c r="I711" t="s">
        <v>9262</v>
      </c>
      <c r="J711" t="s">
        <v>2318</v>
      </c>
      <c r="K711" t="s">
        <v>74</v>
      </c>
      <c r="L711" t="s">
        <v>74</v>
      </c>
      <c r="M711" t="s">
        <v>77</v>
      </c>
      <c r="N711" t="s">
        <v>78</v>
      </c>
      <c r="O711" t="s">
        <v>74</v>
      </c>
      <c r="P711" t="s">
        <v>74</v>
      </c>
      <c r="Q711" t="s">
        <v>74</v>
      </c>
      <c r="R711" t="s">
        <v>74</v>
      </c>
      <c r="S711" t="s">
        <v>74</v>
      </c>
      <c r="T711" t="s">
        <v>9263</v>
      </c>
      <c r="U711" t="s">
        <v>9264</v>
      </c>
      <c r="V711" t="s">
        <v>9265</v>
      </c>
      <c r="W711" t="s">
        <v>9266</v>
      </c>
      <c r="X711" t="s">
        <v>9267</v>
      </c>
      <c r="Y711" t="s">
        <v>9268</v>
      </c>
      <c r="Z711" t="s">
        <v>9269</v>
      </c>
      <c r="AA711" t="s">
        <v>74</v>
      </c>
      <c r="AB711" t="s">
        <v>9270</v>
      </c>
      <c r="AC711" t="s">
        <v>74</v>
      </c>
      <c r="AD711" t="s">
        <v>74</v>
      </c>
      <c r="AE711" t="s">
        <v>74</v>
      </c>
      <c r="AF711" t="s">
        <v>74</v>
      </c>
      <c r="AG711">
        <v>48</v>
      </c>
      <c r="AH711">
        <v>32</v>
      </c>
      <c r="AI711">
        <v>38</v>
      </c>
      <c r="AJ711">
        <v>0</v>
      </c>
      <c r="AK711">
        <v>11</v>
      </c>
      <c r="AL711" t="s">
        <v>210</v>
      </c>
      <c r="AM711" t="s">
        <v>211</v>
      </c>
      <c r="AN711" t="s">
        <v>212</v>
      </c>
      <c r="AO711" t="s">
        <v>2326</v>
      </c>
      <c r="AP711" t="s">
        <v>2327</v>
      </c>
      <c r="AQ711" t="s">
        <v>74</v>
      </c>
      <c r="AR711" t="s">
        <v>2328</v>
      </c>
      <c r="AS711" t="s">
        <v>2329</v>
      </c>
      <c r="AT711" t="s">
        <v>8636</v>
      </c>
      <c r="AU711">
        <v>1999</v>
      </c>
      <c r="AV711">
        <v>64</v>
      </c>
      <c r="AW711">
        <v>4</v>
      </c>
      <c r="AX711" t="s">
        <v>74</v>
      </c>
      <c r="AY711" t="s">
        <v>74</v>
      </c>
      <c r="AZ711" t="s">
        <v>74</v>
      </c>
      <c r="BA711" t="s">
        <v>74</v>
      </c>
      <c r="BB711">
        <v>253</v>
      </c>
      <c r="BC711">
        <v>265</v>
      </c>
      <c r="BD711" t="s">
        <v>74</v>
      </c>
      <c r="BE711" t="s">
        <v>9271</v>
      </c>
      <c r="BF711" t="str">
        <f>HYPERLINK("http://dx.doi.org/10.1016/S0304-4203(98)00073-5","http://dx.doi.org/10.1016/S0304-4203(98)00073-5")</f>
        <v>http://dx.doi.org/10.1016/S0304-4203(98)00073-5</v>
      </c>
      <c r="BG711" t="s">
        <v>74</v>
      </c>
      <c r="BH711" t="s">
        <v>74</v>
      </c>
      <c r="BI711">
        <v>13</v>
      </c>
      <c r="BJ711" t="s">
        <v>2331</v>
      </c>
      <c r="BK711" t="s">
        <v>96</v>
      </c>
      <c r="BL711" t="s">
        <v>2332</v>
      </c>
      <c r="BM711" t="s">
        <v>9272</v>
      </c>
      <c r="BN711" t="s">
        <v>74</v>
      </c>
      <c r="BO711" t="s">
        <v>74</v>
      </c>
      <c r="BP711" t="s">
        <v>74</v>
      </c>
      <c r="BQ711" t="s">
        <v>74</v>
      </c>
      <c r="BR711" t="s">
        <v>99</v>
      </c>
      <c r="BS711" t="s">
        <v>9273</v>
      </c>
      <c r="BT711" t="str">
        <f>HYPERLINK("https%3A%2F%2Fwww.webofscience.com%2Fwos%2Fwoscc%2Ffull-record%2FWOS:000081358200001","View Full Record in Web of Science")</f>
        <v>View Full Record in Web of Science</v>
      </c>
    </row>
    <row r="712" spans="1:72" x14ac:dyDescent="0.15">
      <c r="A712" t="s">
        <v>72</v>
      </c>
      <c r="B712" t="s">
        <v>9274</v>
      </c>
      <c r="C712" t="s">
        <v>74</v>
      </c>
      <c r="D712" t="s">
        <v>74</v>
      </c>
      <c r="E712" t="s">
        <v>74</v>
      </c>
      <c r="F712" t="s">
        <v>9274</v>
      </c>
      <c r="G712" t="s">
        <v>74</v>
      </c>
      <c r="H712" t="s">
        <v>74</v>
      </c>
      <c r="I712" t="s">
        <v>9275</v>
      </c>
      <c r="J712" t="s">
        <v>2338</v>
      </c>
      <c r="K712" t="s">
        <v>74</v>
      </c>
      <c r="L712" t="s">
        <v>74</v>
      </c>
      <c r="M712" t="s">
        <v>77</v>
      </c>
      <c r="N712" t="s">
        <v>78</v>
      </c>
      <c r="O712" t="s">
        <v>74</v>
      </c>
      <c r="P712" t="s">
        <v>74</v>
      </c>
      <c r="Q712" t="s">
        <v>74</v>
      </c>
      <c r="R712" t="s">
        <v>74</v>
      </c>
      <c r="S712" t="s">
        <v>74</v>
      </c>
      <c r="T712" t="s">
        <v>9276</v>
      </c>
      <c r="U712" t="s">
        <v>9277</v>
      </c>
      <c r="V712" t="s">
        <v>9278</v>
      </c>
      <c r="W712" t="s">
        <v>9279</v>
      </c>
      <c r="X712" t="s">
        <v>9280</v>
      </c>
      <c r="Y712" t="s">
        <v>9281</v>
      </c>
      <c r="Z712" t="s">
        <v>9282</v>
      </c>
      <c r="AA712" t="s">
        <v>9283</v>
      </c>
      <c r="AB712" t="s">
        <v>9284</v>
      </c>
      <c r="AC712" t="s">
        <v>74</v>
      </c>
      <c r="AD712" t="s">
        <v>74</v>
      </c>
      <c r="AE712" t="s">
        <v>74</v>
      </c>
      <c r="AF712" t="s">
        <v>74</v>
      </c>
      <c r="AG712">
        <v>53</v>
      </c>
      <c r="AH712">
        <v>26</v>
      </c>
      <c r="AI712">
        <v>26</v>
      </c>
      <c r="AJ712">
        <v>1</v>
      </c>
      <c r="AK712">
        <v>9</v>
      </c>
      <c r="AL712" t="s">
        <v>210</v>
      </c>
      <c r="AM712" t="s">
        <v>211</v>
      </c>
      <c r="AN712" t="s">
        <v>212</v>
      </c>
      <c r="AO712" t="s">
        <v>2349</v>
      </c>
      <c r="AP712" t="s">
        <v>2350</v>
      </c>
      <c r="AQ712" t="s">
        <v>74</v>
      </c>
      <c r="AR712" t="s">
        <v>2351</v>
      </c>
      <c r="AS712" t="s">
        <v>2352</v>
      </c>
      <c r="AT712" t="s">
        <v>8636</v>
      </c>
      <c r="AU712">
        <v>1999</v>
      </c>
      <c r="AV712">
        <v>157</v>
      </c>
      <c r="AW712" t="s">
        <v>1614</v>
      </c>
      <c r="AX712" t="s">
        <v>74</v>
      </c>
      <c r="AY712" t="s">
        <v>74</v>
      </c>
      <c r="AZ712" t="s">
        <v>74</v>
      </c>
      <c r="BA712" t="s">
        <v>74</v>
      </c>
      <c r="BB712">
        <v>47</v>
      </c>
      <c r="BC712">
        <v>68</v>
      </c>
      <c r="BD712" t="s">
        <v>74</v>
      </c>
      <c r="BE712" t="s">
        <v>9285</v>
      </c>
      <c r="BF712" t="str">
        <f>HYPERLINK("http://dx.doi.org/10.1016/S0025-3227(98)00149-2","http://dx.doi.org/10.1016/S0025-3227(98)00149-2")</f>
        <v>http://dx.doi.org/10.1016/S0025-3227(98)00149-2</v>
      </c>
      <c r="BG712" t="s">
        <v>74</v>
      </c>
      <c r="BH712" t="s">
        <v>74</v>
      </c>
      <c r="BI712">
        <v>22</v>
      </c>
      <c r="BJ712" t="s">
        <v>2355</v>
      </c>
      <c r="BK712" t="s">
        <v>96</v>
      </c>
      <c r="BL712" t="s">
        <v>2356</v>
      </c>
      <c r="BM712" t="s">
        <v>9286</v>
      </c>
      <c r="BN712" t="s">
        <v>74</v>
      </c>
      <c r="BO712" t="s">
        <v>74</v>
      </c>
      <c r="BP712" t="s">
        <v>74</v>
      </c>
      <c r="BQ712" t="s">
        <v>74</v>
      </c>
      <c r="BR712" t="s">
        <v>99</v>
      </c>
      <c r="BS712" t="s">
        <v>9287</v>
      </c>
      <c r="BT712" t="str">
        <f>HYPERLINK("https%3A%2F%2Fwww.webofscience.com%2Fwos%2Fwoscc%2Ffull-record%2FWOS:000079389700004","View Full Record in Web of Science")</f>
        <v>View Full Record in Web of Science</v>
      </c>
    </row>
    <row r="713" spans="1:72" x14ac:dyDescent="0.15">
      <c r="A713" t="s">
        <v>72</v>
      </c>
      <c r="B713" t="s">
        <v>9288</v>
      </c>
      <c r="C713" t="s">
        <v>74</v>
      </c>
      <c r="D713" t="s">
        <v>74</v>
      </c>
      <c r="E713" t="s">
        <v>74</v>
      </c>
      <c r="F713" t="s">
        <v>9288</v>
      </c>
      <c r="G713" t="s">
        <v>74</v>
      </c>
      <c r="H713" t="s">
        <v>74</v>
      </c>
      <c r="I713" t="s">
        <v>9289</v>
      </c>
      <c r="J713" t="s">
        <v>2338</v>
      </c>
      <c r="K713" t="s">
        <v>74</v>
      </c>
      <c r="L713" t="s">
        <v>74</v>
      </c>
      <c r="M713" t="s">
        <v>77</v>
      </c>
      <c r="N713" t="s">
        <v>78</v>
      </c>
      <c r="O713" t="s">
        <v>74</v>
      </c>
      <c r="P713" t="s">
        <v>74</v>
      </c>
      <c r="Q713" t="s">
        <v>74</v>
      </c>
      <c r="R713" t="s">
        <v>74</v>
      </c>
      <c r="S713" t="s">
        <v>74</v>
      </c>
      <c r="T713" t="s">
        <v>9290</v>
      </c>
      <c r="U713" t="s">
        <v>9291</v>
      </c>
      <c r="V713" t="s">
        <v>9292</v>
      </c>
      <c r="W713" t="s">
        <v>9293</v>
      </c>
      <c r="X713" t="s">
        <v>9294</v>
      </c>
      <c r="Y713" t="s">
        <v>9295</v>
      </c>
      <c r="Z713" t="s">
        <v>9296</v>
      </c>
      <c r="AA713" t="s">
        <v>9297</v>
      </c>
      <c r="AB713" t="s">
        <v>74</v>
      </c>
      <c r="AC713" t="s">
        <v>74</v>
      </c>
      <c r="AD713" t="s">
        <v>74</v>
      </c>
      <c r="AE713" t="s">
        <v>74</v>
      </c>
      <c r="AF713" t="s">
        <v>74</v>
      </c>
      <c r="AG713">
        <v>42</v>
      </c>
      <c r="AH713">
        <v>7</v>
      </c>
      <c r="AI713">
        <v>9</v>
      </c>
      <c r="AJ713">
        <v>1</v>
      </c>
      <c r="AK713">
        <v>6</v>
      </c>
      <c r="AL713" t="s">
        <v>210</v>
      </c>
      <c r="AM713" t="s">
        <v>211</v>
      </c>
      <c r="AN713" t="s">
        <v>212</v>
      </c>
      <c r="AO713" t="s">
        <v>2349</v>
      </c>
      <c r="AP713" t="s">
        <v>74</v>
      </c>
      <c r="AQ713" t="s">
        <v>74</v>
      </c>
      <c r="AR713" t="s">
        <v>2351</v>
      </c>
      <c r="AS713" t="s">
        <v>2352</v>
      </c>
      <c r="AT713" t="s">
        <v>8636</v>
      </c>
      <c r="AU713">
        <v>1999</v>
      </c>
      <c r="AV713">
        <v>157</v>
      </c>
      <c r="AW713" t="s">
        <v>1614</v>
      </c>
      <c r="AX713" t="s">
        <v>74</v>
      </c>
      <c r="AY713" t="s">
        <v>74</v>
      </c>
      <c r="AZ713" t="s">
        <v>74</v>
      </c>
      <c r="BA713" t="s">
        <v>74</v>
      </c>
      <c r="BB713">
        <v>69</v>
      </c>
      <c r="BC713">
        <v>87</v>
      </c>
      <c r="BD713" t="s">
        <v>74</v>
      </c>
      <c r="BE713" t="s">
        <v>9298</v>
      </c>
      <c r="BF713" t="str">
        <f>HYPERLINK("http://dx.doi.org/10.1016/S0025-3227(98)00136-4","http://dx.doi.org/10.1016/S0025-3227(98)00136-4")</f>
        <v>http://dx.doi.org/10.1016/S0025-3227(98)00136-4</v>
      </c>
      <c r="BG713" t="s">
        <v>74</v>
      </c>
      <c r="BH713" t="s">
        <v>74</v>
      </c>
      <c r="BI713">
        <v>19</v>
      </c>
      <c r="BJ713" t="s">
        <v>2355</v>
      </c>
      <c r="BK713" t="s">
        <v>96</v>
      </c>
      <c r="BL713" t="s">
        <v>2356</v>
      </c>
      <c r="BM713" t="s">
        <v>9286</v>
      </c>
      <c r="BN713" t="s">
        <v>74</v>
      </c>
      <c r="BO713" t="s">
        <v>74</v>
      </c>
      <c r="BP713" t="s">
        <v>74</v>
      </c>
      <c r="BQ713" t="s">
        <v>74</v>
      </c>
      <c r="BR713" t="s">
        <v>99</v>
      </c>
      <c r="BS713" t="s">
        <v>9299</v>
      </c>
      <c r="BT713" t="str">
        <f>HYPERLINK("https%3A%2F%2Fwww.webofscience.com%2Fwos%2Fwoscc%2Ffull-record%2FWOS:000079389700005","View Full Record in Web of Science")</f>
        <v>View Full Record in Web of Science</v>
      </c>
    </row>
    <row r="714" spans="1:72" x14ac:dyDescent="0.15">
      <c r="A714" t="s">
        <v>72</v>
      </c>
      <c r="B714" t="s">
        <v>701</v>
      </c>
      <c r="C714" t="s">
        <v>74</v>
      </c>
      <c r="D714" t="s">
        <v>74</v>
      </c>
      <c r="E714" t="s">
        <v>74</v>
      </c>
      <c r="F714" t="s">
        <v>701</v>
      </c>
      <c r="G714" t="s">
        <v>74</v>
      </c>
      <c r="H714" t="s">
        <v>74</v>
      </c>
      <c r="I714" t="s">
        <v>9300</v>
      </c>
      <c r="J714" t="s">
        <v>9301</v>
      </c>
      <c r="K714" t="s">
        <v>74</v>
      </c>
      <c r="L714" t="s">
        <v>74</v>
      </c>
      <c r="M714" t="s">
        <v>77</v>
      </c>
      <c r="N714" t="s">
        <v>704</v>
      </c>
      <c r="O714" t="s">
        <v>74</v>
      </c>
      <c r="P714" t="s">
        <v>74</v>
      </c>
      <c r="Q714" t="s">
        <v>74</v>
      </c>
      <c r="R714" t="s">
        <v>74</v>
      </c>
      <c r="S714" t="s">
        <v>74</v>
      </c>
      <c r="T714" t="s">
        <v>74</v>
      </c>
      <c r="U714" t="s">
        <v>74</v>
      </c>
      <c r="V714" t="s">
        <v>74</v>
      </c>
      <c r="W714" t="s">
        <v>74</v>
      </c>
      <c r="X714" t="s">
        <v>74</v>
      </c>
      <c r="Y714" t="s">
        <v>74</v>
      </c>
      <c r="Z714" t="s">
        <v>74</v>
      </c>
      <c r="AA714" t="s">
        <v>74</v>
      </c>
      <c r="AB714" t="s">
        <v>74</v>
      </c>
      <c r="AC714" t="s">
        <v>74</v>
      </c>
      <c r="AD714" t="s">
        <v>74</v>
      </c>
      <c r="AE714" t="s">
        <v>74</v>
      </c>
      <c r="AF714" t="s">
        <v>74</v>
      </c>
      <c r="AG714">
        <v>0</v>
      </c>
      <c r="AH714">
        <v>0</v>
      </c>
      <c r="AI714">
        <v>0</v>
      </c>
      <c r="AJ714">
        <v>0</v>
      </c>
      <c r="AK714">
        <v>0</v>
      </c>
      <c r="AL714" t="s">
        <v>275</v>
      </c>
      <c r="AM714" t="s">
        <v>276</v>
      </c>
      <c r="AN714" t="s">
        <v>277</v>
      </c>
      <c r="AO714" t="s">
        <v>9302</v>
      </c>
      <c r="AP714" t="s">
        <v>9303</v>
      </c>
      <c r="AQ714" t="s">
        <v>74</v>
      </c>
      <c r="AR714" t="s">
        <v>9304</v>
      </c>
      <c r="AS714" t="s">
        <v>9305</v>
      </c>
      <c r="AT714" t="s">
        <v>8636</v>
      </c>
      <c r="AU714">
        <v>1999</v>
      </c>
      <c r="AV714">
        <v>38</v>
      </c>
      <c r="AW714">
        <v>4</v>
      </c>
      <c r="AX714" t="s">
        <v>74</v>
      </c>
      <c r="AY714" t="s">
        <v>74</v>
      </c>
      <c r="AZ714" t="s">
        <v>74</v>
      </c>
      <c r="BA714" t="s">
        <v>74</v>
      </c>
      <c r="BB714">
        <v>235</v>
      </c>
      <c r="BC714">
        <v>235</v>
      </c>
      <c r="BD714" t="s">
        <v>74</v>
      </c>
      <c r="BE714" t="s">
        <v>74</v>
      </c>
      <c r="BF714" t="s">
        <v>74</v>
      </c>
      <c r="BG714" t="s">
        <v>74</v>
      </c>
      <c r="BH714" t="s">
        <v>74</v>
      </c>
      <c r="BI714">
        <v>1</v>
      </c>
      <c r="BJ714" t="s">
        <v>9306</v>
      </c>
      <c r="BK714" t="s">
        <v>96</v>
      </c>
      <c r="BL714" t="s">
        <v>1704</v>
      </c>
      <c r="BM714" t="s">
        <v>9307</v>
      </c>
      <c r="BN714" t="s">
        <v>74</v>
      </c>
      <c r="BO714" t="s">
        <v>74</v>
      </c>
      <c r="BP714" t="s">
        <v>74</v>
      </c>
      <c r="BQ714" t="s">
        <v>74</v>
      </c>
      <c r="BR714" t="s">
        <v>99</v>
      </c>
      <c r="BS714" t="s">
        <v>9308</v>
      </c>
      <c r="BT714" t="str">
        <f>HYPERLINK("https%3A%2F%2Fwww.webofscience.com%2Fwos%2Fwoscc%2Ffull-record%2FWOS:000080847100003","View Full Record in Web of Science")</f>
        <v>View Full Record in Web of Science</v>
      </c>
    </row>
    <row r="715" spans="1:72" x14ac:dyDescent="0.15">
      <c r="A715" t="s">
        <v>72</v>
      </c>
      <c r="B715" t="s">
        <v>9309</v>
      </c>
      <c r="C715" t="s">
        <v>74</v>
      </c>
      <c r="D715" t="s">
        <v>74</v>
      </c>
      <c r="E715" t="s">
        <v>74</v>
      </c>
      <c r="F715" t="s">
        <v>9309</v>
      </c>
      <c r="G715" t="s">
        <v>74</v>
      </c>
      <c r="H715" t="s">
        <v>74</v>
      </c>
      <c r="I715" t="s">
        <v>9310</v>
      </c>
      <c r="J715" t="s">
        <v>9311</v>
      </c>
      <c r="K715" t="s">
        <v>74</v>
      </c>
      <c r="L715" t="s">
        <v>74</v>
      </c>
      <c r="M715" t="s">
        <v>77</v>
      </c>
      <c r="N715" t="s">
        <v>254</v>
      </c>
      <c r="O715" t="s">
        <v>74</v>
      </c>
      <c r="P715" t="s">
        <v>74</v>
      </c>
      <c r="Q715" t="s">
        <v>74</v>
      </c>
      <c r="R715" t="s">
        <v>74</v>
      </c>
      <c r="S715" t="s">
        <v>74</v>
      </c>
      <c r="T715" t="s">
        <v>9312</v>
      </c>
      <c r="U715" t="s">
        <v>9313</v>
      </c>
      <c r="V715" t="s">
        <v>74</v>
      </c>
      <c r="W715" t="s">
        <v>9314</v>
      </c>
      <c r="X715" t="s">
        <v>9315</v>
      </c>
      <c r="Y715" t="s">
        <v>9316</v>
      </c>
      <c r="Z715" t="s">
        <v>9317</v>
      </c>
      <c r="AA715" t="s">
        <v>74</v>
      </c>
      <c r="AB715" t="s">
        <v>9318</v>
      </c>
      <c r="AC715" t="s">
        <v>74</v>
      </c>
      <c r="AD715" t="s">
        <v>74</v>
      </c>
      <c r="AE715" t="s">
        <v>74</v>
      </c>
      <c r="AF715" t="s">
        <v>74</v>
      </c>
      <c r="AG715">
        <v>78</v>
      </c>
      <c r="AH715">
        <v>217</v>
      </c>
      <c r="AI715">
        <v>250</v>
      </c>
      <c r="AJ715">
        <v>1</v>
      </c>
      <c r="AK715">
        <v>38</v>
      </c>
      <c r="AL715" t="s">
        <v>9319</v>
      </c>
      <c r="AM715" t="s">
        <v>6071</v>
      </c>
      <c r="AN715" t="s">
        <v>9320</v>
      </c>
      <c r="AO715" t="s">
        <v>9321</v>
      </c>
      <c r="AP715" t="s">
        <v>74</v>
      </c>
      <c r="AQ715" t="s">
        <v>74</v>
      </c>
      <c r="AR715" t="s">
        <v>9322</v>
      </c>
      <c r="AS715" t="s">
        <v>9323</v>
      </c>
      <c r="AT715" t="s">
        <v>8636</v>
      </c>
      <c r="AU715">
        <v>1999</v>
      </c>
      <c r="AV715">
        <v>145</v>
      </c>
      <c r="AW715" t="s">
        <v>74</v>
      </c>
      <c r="AX715">
        <v>4</v>
      </c>
      <c r="AY715" t="s">
        <v>74</v>
      </c>
      <c r="AZ715" t="s">
        <v>74</v>
      </c>
      <c r="BA715" t="s">
        <v>74</v>
      </c>
      <c r="BB715">
        <v>767</v>
      </c>
      <c r="BC715">
        <v>779</v>
      </c>
      <c r="BD715" t="s">
        <v>74</v>
      </c>
      <c r="BE715" t="s">
        <v>9324</v>
      </c>
      <c r="BF715" t="str">
        <f>HYPERLINK("http://dx.doi.org/10.1099/13500872-145-4-767","http://dx.doi.org/10.1099/13500872-145-4-767")</f>
        <v>http://dx.doi.org/10.1099/13500872-145-4-767</v>
      </c>
      <c r="BG715" t="s">
        <v>74</v>
      </c>
      <c r="BH715" t="s">
        <v>74</v>
      </c>
      <c r="BI715">
        <v>13</v>
      </c>
      <c r="BJ715" t="s">
        <v>2075</v>
      </c>
      <c r="BK715" t="s">
        <v>96</v>
      </c>
      <c r="BL715" t="s">
        <v>2075</v>
      </c>
      <c r="BM715" t="s">
        <v>9325</v>
      </c>
      <c r="BN715">
        <v>10220156</v>
      </c>
      <c r="BO715" t="s">
        <v>250</v>
      </c>
      <c r="BP715" t="s">
        <v>74</v>
      </c>
      <c r="BQ715" t="s">
        <v>74</v>
      </c>
      <c r="BR715" t="s">
        <v>99</v>
      </c>
      <c r="BS715" t="s">
        <v>9326</v>
      </c>
      <c r="BT715" t="str">
        <f>HYPERLINK("https%3A%2F%2Fwww.webofscience.com%2Fwos%2Fwoscc%2Ffull-record%2FWOS:000079624700001","View Full Record in Web of Science")</f>
        <v>View Full Record in Web of Science</v>
      </c>
    </row>
    <row r="716" spans="1:72" x14ac:dyDescent="0.15">
      <c r="A716" t="s">
        <v>72</v>
      </c>
      <c r="B716" t="s">
        <v>9327</v>
      </c>
      <c r="C716" t="s">
        <v>74</v>
      </c>
      <c r="D716" t="s">
        <v>74</v>
      </c>
      <c r="E716" t="s">
        <v>74</v>
      </c>
      <c r="F716" t="s">
        <v>9327</v>
      </c>
      <c r="G716" t="s">
        <v>74</v>
      </c>
      <c r="H716" t="s">
        <v>74</v>
      </c>
      <c r="I716" t="s">
        <v>9328</v>
      </c>
      <c r="J716" t="s">
        <v>2692</v>
      </c>
      <c r="K716" t="s">
        <v>74</v>
      </c>
      <c r="L716" t="s">
        <v>74</v>
      </c>
      <c r="M716" t="s">
        <v>77</v>
      </c>
      <c r="N716" t="s">
        <v>78</v>
      </c>
      <c r="O716" t="s">
        <v>74</v>
      </c>
      <c r="P716" t="s">
        <v>74</v>
      </c>
      <c r="Q716" t="s">
        <v>74</v>
      </c>
      <c r="R716" t="s">
        <v>74</v>
      </c>
      <c r="S716" t="s">
        <v>74</v>
      </c>
      <c r="T716" t="s">
        <v>74</v>
      </c>
      <c r="U716" t="s">
        <v>9329</v>
      </c>
      <c r="V716" t="s">
        <v>9330</v>
      </c>
      <c r="W716" t="s">
        <v>9331</v>
      </c>
      <c r="X716" t="s">
        <v>9332</v>
      </c>
      <c r="Y716" t="s">
        <v>9333</v>
      </c>
      <c r="Z716" t="s">
        <v>9334</v>
      </c>
      <c r="AA716" t="s">
        <v>9335</v>
      </c>
      <c r="AB716" t="s">
        <v>9336</v>
      </c>
      <c r="AC716" t="s">
        <v>74</v>
      </c>
      <c r="AD716" t="s">
        <v>74</v>
      </c>
      <c r="AE716" t="s">
        <v>74</v>
      </c>
      <c r="AF716" t="s">
        <v>74</v>
      </c>
      <c r="AG716">
        <v>30</v>
      </c>
      <c r="AH716">
        <v>163</v>
      </c>
      <c r="AI716">
        <v>178</v>
      </c>
      <c r="AJ716">
        <v>1</v>
      </c>
      <c r="AK716">
        <v>37</v>
      </c>
      <c r="AL716" t="s">
        <v>2693</v>
      </c>
      <c r="AM716" t="s">
        <v>531</v>
      </c>
      <c r="AN716" t="s">
        <v>2694</v>
      </c>
      <c r="AO716" t="s">
        <v>2695</v>
      </c>
      <c r="AP716" t="s">
        <v>74</v>
      </c>
      <c r="AQ716" t="s">
        <v>74</v>
      </c>
      <c r="AR716" t="s">
        <v>2692</v>
      </c>
      <c r="AS716" t="s">
        <v>2696</v>
      </c>
      <c r="AT716" t="s">
        <v>8997</v>
      </c>
      <c r="AU716">
        <v>1999</v>
      </c>
      <c r="AV716">
        <v>398</v>
      </c>
      <c r="AW716">
        <v>6726</v>
      </c>
      <c r="AX716" t="s">
        <v>74</v>
      </c>
      <c r="AY716" t="s">
        <v>74</v>
      </c>
      <c r="AZ716" t="s">
        <v>74</v>
      </c>
      <c r="BA716" t="s">
        <v>74</v>
      </c>
      <c r="BB716">
        <v>410</v>
      </c>
      <c r="BC716">
        <v>413</v>
      </c>
      <c r="BD716" t="s">
        <v>74</v>
      </c>
      <c r="BE716" t="s">
        <v>9337</v>
      </c>
      <c r="BF716" t="str">
        <f>HYPERLINK("http://dx.doi.org/10.1038/18860","http://dx.doi.org/10.1038/18860")</f>
        <v>http://dx.doi.org/10.1038/18860</v>
      </c>
      <c r="BG716" t="s">
        <v>74</v>
      </c>
      <c r="BH716" t="s">
        <v>74</v>
      </c>
      <c r="BI716">
        <v>4</v>
      </c>
      <c r="BJ716" t="s">
        <v>303</v>
      </c>
      <c r="BK716" t="s">
        <v>96</v>
      </c>
      <c r="BL716" t="s">
        <v>304</v>
      </c>
      <c r="BM716" t="s">
        <v>9338</v>
      </c>
      <c r="BN716" t="s">
        <v>74</v>
      </c>
      <c r="BO716" t="s">
        <v>74</v>
      </c>
      <c r="BP716" t="s">
        <v>74</v>
      </c>
      <c r="BQ716" t="s">
        <v>74</v>
      </c>
      <c r="BR716" t="s">
        <v>99</v>
      </c>
      <c r="BS716" t="s">
        <v>9339</v>
      </c>
      <c r="BT716" t="str">
        <f>HYPERLINK("https%3A%2F%2Fwww.webofscience.com%2Fwos%2Fwoscc%2Ffull-record%2FWOS:000079508200048","View Full Record in Web of Science")</f>
        <v>View Full Record in Web of Science</v>
      </c>
    </row>
    <row r="717" spans="1:72" x14ac:dyDescent="0.15">
      <c r="A717" t="s">
        <v>72</v>
      </c>
      <c r="B717" t="s">
        <v>9340</v>
      </c>
      <c r="C717" t="s">
        <v>74</v>
      </c>
      <c r="D717" t="s">
        <v>74</v>
      </c>
      <c r="E717" t="s">
        <v>74</v>
      </c>
      <c r="F717" t="s">
        <v>9340</v>
      </c>
      <c r="G717" t="s">
        <v>74</v>
      </c>
      <c r="H717" t="s">
        <v>74</v>
      </c>
      <c r="I717" t="s">
        <v>9341</v>
      </c>
      <c r="J717" t="s">
        <v>9342</v>
      </c>
      <c r="K717" t="s">
        <v>74</v>
      </c>
      <c r="L717" t="s">
        <v>74</v>
      </c>
      <c r="M717" t="s">
        <v>77</v>
      </c>
      <c r="N717" t="s">
        <v>123</v>
      </c>
      <c r="O717" t="s">
        <v>9343</v>
      </c>
      <c r="P717" t="s">
        <v>9344</v>
      </c>
      <c r="Q717" t="s">
        <v>9345</v>
      </c>
      <c r="R717" t="s">
        <v>74</v>
      </c>
      <c r="S717" t="s">
        <v>9346</v>
      </c>
      <c r="T717" t="s">
        <v>9347</v>
      </c>
      <c r="U717" t="s">
        <v>9348</v>
      </c>
      <c r="V717" t="s">
        <v>9349</v>
      </c>
      <c r="W717" t="s">
        <v>9350</v>
      </c>
      <c r="X717" t="s">
        <v>9351</v>
      </c>
      <c r="Y717" t="s">
        <v>9352</v>
      </c>
      <c r="Z717" t="s">
        <v>74</v>
      </c>
      <c r="AA717" t="s">
        <v>9353</v>
      </c>
      <c r="AB717" t="s">
        <v>9354</v>
      </c>
      <c r="AC717" t="s">
        <v>74</v>
      </c>
      <c r="AD717" t="s">
        <v>74</v>
      </c>
      <c r="AE717" t="s">
        <v>74</v>
      </c>
      <c r="AF717" t="s">
        <v>74</v>
      </c>
      <c r="AG717">
        <v>10</v>
      </c>
      <c r="AH717">
        <v>10</v>
      </c>
      <c r="AI717">
        <v>11</v>
      </c>
      <c r="AJ717">
        <v>0</v>
      </c>
      <c r="AK717">
        <v>6</v>
      </c>
      <c r="AL717" t="s">
        <v>210</v>
      </c>
      <c r="AM717" t="s">
        <v>211</v>
      </c>
      <c r="AN717" t="s">
        <v>212</v>
      </c>
      <c r="AO717" t="s">
        <v>9355</v>
      </c>
      <c r="AP717" t="s">
        <v>74</v>
      </c>
      <c r="AQ717" t="s">
        <v>74</v>
      </c>
      <c r="AR717" t="s">
        <v>9356</v>
      </c>
      <c r="AS717" t="s">
        <v>9357</v>
      </c>
      <c r="AT717" t="s">
        <v>8636</v>
      </c>
      <c r="AU717">
        <v>1999</v>
      </c>
      <c r="AV717">
        <v>150</v>
      </c>
      <c r="AW717" t="s">
        <v>2149</v>
      </c>
      <c r="AX717" t="s">
        <v>74</v>
      </c>
      <c r="AY717" t="s">
        <v>74</v>
      </c>
      <c r="AZ717" t="s">
        <v>74</v>
      </c>
      <c r="BA717" t="s">
        <v>74</v>
      </c>
      <c r="BB717">
        <v>392</v>
      </c>
      <c r="BC717">
        <v>397</v>
      </c>
      <c r="BD717" t="s">
        <v>74</v>
      </c>
      <c r="BE717" t="s">
        <v>9358</v>
      </c>
      <c r="BF717" t="str">
        <f>HYPERLINK("http://dx.doi.org/10.1016/S0168-583X(98)00901-X","http://dx.doi.org/10.1016/S0168-583X(98)00901-X")</f>
        <v>http://dx.doi.org/10.1016/S0168-583X(98)00901-X</v>
      </c>
      <c r="BG717" t="s">
        <v>74</v>
      </c>
      <c r="BH717" t="s">
        <v>74</v>
      </c>
      <c r="BI717">
        <v>6</v>
      </c>
      <c r="BJ717" t="s">
        <v>9359</v>
      </c>
      <c r="BK717" t="s">
        <v>143</v>
      </c>
      <c r="BL717" t="s">
        <v>9360</v>
      </c>
      <c r="BM717" t="s">
        <v>9361</v>
      </c>
      <c r="BN717" t="s">
        <v>74</v>
      </c>
      <c r="BO717" t="s">
        <v>74</v>
      </c>
      <c r="BP717" t="s">
        <v>74</v>
      </c>
      <c r="BQ717" t="s">
        <v>74</v>
      </c>
      <c r="BR717" t="s">
        <v>99</v>
      </c>
      <c r="BS717" t="s">
        <v>9362</v>
      </c>
      <c r="BT717" t="str">
        <f>HYPERLINK("https%3A%2F%2Fwww.webofscience.com%2Fwos%2Fwoscc%2Ffull-record%2FWOS:000080056500063","View Full Record in Web of Science")</f>
        <v>View Full Record in Web of Science</v>
      </c>
    </row>
    <row r="718" spans="1:72" x14ac:dyDescent="0.15">
      <c r="A718" t="s">
        <v>72</v>
      </c>
      <c r="B718" t="s">
        <v>9363</v>
      </c>
      <c r="C718" t="s">
        <v>74</v>
      </c>
      <c r="D718" t="s">
        <v>74</v>
      </c>
      <c r="E718" t="s">
        <v>74</v>
      </c>
      <c r="F718" t="s">
        <v>9363</v>
      </c>
      <c r="G718" t="s">
        <v>74</v>
      </c>
      <c r="H718" t="s">
        <v>74</v>
      </c>
      <c r="I718" t="s">
        <v>9364</v>
      </c>
      <c r="J718" t="s">
        <v>1308</v>
      </c>
      <c r="K718" t="s">
        <v>74</v>
      </c>
      <c r="L718" t="s">
        <v>74</v>
      </c>
      <c r="M718" t="s">
        <v>77</v>
      </c>
      <c r="N718" t="s">
        <v>78</v>
      </c>
      <c r="O718" t="s">
        <v>74</v>
      </c>
      <c r="P718" t="s">
        <v>74</v>
      </c>
      <c r="Q718" t="s">
        <v>74</v>
      </c>
      <c r="R718" t="s">
        <v>74</v>
      </c>
      <c r="S718" t="s">
        <v>74</v>
      </c>
      <c r="T718" t="s">
        <v>9365</v>
      </c>
      <c r="U718" t="s">
        <v>9366</v>
      </c>
      <c r="V718" t="s">
        <v>9367</v>
      </c>
      <c r="W718" t="s">
        <v>9368</v>
      </c>
      <c r="X718" t="s">
        <v>2005</v>
      </c>
      <c r="Y718" t="s">
        <v>9369</v>
      </c>
      <c r="Z718" t="s">
        <v>74</v>
      </c>
      <c r="AA718" t="s">
        <v>5970</v>
      </c>
      <c r="AB718" t="s">
        <v>5971</v>
      </c>
      <c r="AC718" t="s">
        <v>74</v>
      </c>
      <c r="AD718" t="s">
        <v>74</v>
      </c>
      <c r="AE718" t="s">
        <v>74</v>
      </c>
      <c r="AF718" t="s">
        <v>74</v>
      </c>
      <c r="AG718">
        <v>44</v>
      </c>
      <c r="AH718">
        <v>185</v>
      </c>
      <c r="AI718">
        <v>201</v>
      </c>
      <c r="AJ718">
        <v>4</v>
      </c>
      <c r="AK718">
        <v>45</v>
      </c>
      <c r="AL718" t="s">
        <v>553</v>
      </c>
      <c r="AM718" t="s">
        <v>554</v>
      </c>
      <c r="AN718" t="s">
        <v>555</v>
      </c>
      <c r="AO718" t="s">
        <v>1317</v>
      </c>
      <c r="AP718" t="s">
        <v>74</v>
      </c>
      <c r="AQ718" t="s">
        <v>74</v>
      </c>
      <c r="AR718" t="s">
        <v>1308</v>
      </c>
      <c r="AS718" t="s">
        <v>1318</v>
      </c>
      <c r="AT718" t="s">
        <v>8636</v>
      </c>
      <c r="AU718">
        <v>1999</v>
      </c>
      <c r="AV718">
        <v>119</v>
      </c>
      <c r="AW718">
        <v>1</v>
      </c>
      <c r="AX718" t="s">
        <v>74</v>
      </c>
      <c r="AY718" t="s">
        <v>74</v>
      </c>
      <c r="AZ718" t="s">
        <v>74</v>
      </c>
      <c r="BA718" t="s">
        <v>74</v>
      </c>
      <c r="BB718">
        <v>24</v>
      </c>
      <c r="BC718">
        <v>35</v>
      </c>
      <c r="BD718" t="s">
        <v>74</v>
      </c>
      <c r="BE718" t="s">
        <v>9370</v>
      </c>
      <c r="BF718" t="str">
        <f>HYPERLINK("http://dx.doi.org/10.1007/s004420050757","http://dx.doi.org/10.1007/s004420050757")</f>
        <v>http://dx.doi.org/10.1007/s004420050757</v>
      </c>
      <c r="BG718" t="s">
        <v>74</v>
      </c>
      <c r="BH718" t="s">
        <v>74</v>
      </c>
      <c r="BI718">
        <v>12</v>
      </c>
      <c r="BJ718" t="s">
        <v>868</v>
      </c>
      <c r="BK718" t="s">
        <v>96</v>
      </c>
      <c r="BL718" t="s">
        <v>761</v>
      </c>
      <c r="BM718" t="s">
        <v>9371</v>
      </c>
      <c r="BN718">
        <v>28308156</v>
      </c>
      <c r="BO718" t="s">
        <v>74</v>
      </c>
      <c r="BP718" t="s">
        <v>74</v>
      </c>
      <c r="BQ718" t="s">
        <v>74</v>
      </c>
      <c r="BR718" t="s">
        <v>99</v>
      </c>
      <c r="BS718" t="s">
        <v>9372</v>
      </c>
      <c r="BT718" t="str">
        <f>HYPERLINK("https%3A%2F%2Fwww.webofscience.com%2Fwos%2Fwoscc%2Ffull-record%2FWOS:000079939500004","View Full Record in Web of Science")</f>
        <v>View Full Record in Web of Science</v>
      </c>
    </row>
    <row r="719" spans="1:72" x14ac:dyDescent="0.15">
      <c r="A719" t="s">
        <v>72</v>
      </c>
      <c r="B719" t="s">
        <v>9373</v>
      </c>
      <c r="C719" t="s">
        <v>74</v>
      </c>
      <c r="D719" t="s">
        <v>74</v>
      </c>
      <c r="E719" t="s">
        <v>74</v>
      </c>
      <c r="F719" t="s">
        <v>9373</v>
      </c>
      <c r="G719" t="s">
        <v>74</v>
      </c>
      <c r="H719" t="s">
        <v>74</v>
      </c>
      <c r="I719" t="s">
        <v>9374</v>
      </c>
      <c r="J719" t="s">
        <v>7128</v>
      </c>
      <c r="K719" t="s">
        <v>74</v>
      </c>
      <c r="L719" t="s">
        <v>74</v>
      </c>
      <c r="M719" t="s">
        <v>77</v>
      </c>
      <c r="N719" t="s">
        <v>78</v>
      </c>
      <c r="O719" t="s">
        <v>74</v>
      </c>
      <c r="P719" t="s">
        <v>74</v>
      </c>
      <c r="Q719" t="s">
        <v>74</v>
      </c>
      <c r="R719" t="s">
        <v>74</v>
      </c>
      <c r="S719" t="s">
        <v>74</v>
      </c>
      <c r="T719" t="s">
        <v>74</v>
      </c>
      <c r="U719" t="s">
        <v>9375</v>
      </c>
      <c r="V719" t="s">
        <v>9376</v>
      </c>
      <c r="W719" t="s">
        <v>9377</v>
      </c>
      <c r="X719" t="s">
        <v>9378</v>
      </c>
      <c r="Y719" t="s">
        <v>9379</v>
      </c>
      <c r="Z719" t="s">
        <v>9380</v>
      </c>
      <c r="AA719" t="s">
        <v>9381</v>
      </c>
      <c r="AB719" t="s">
        <v>9382</v>
      </c>
      <c r="AC719" t="s">
        <v>74</v>
      </c>
      <c r="AD719" t="s">
        <v>74</v>
      </c>
      <c r="AE719" t="s">
        <v>74</v>
      </c>
      <c r="AF719" t="s">
        <v>74</v>
      </c>
      <c r="AG719">
        <v>70</v>
      </c>
      <c r="AH719">
        <v>191</v>
      </c>
      <c r="AI719">
        <v>229</v>
      </c>
      <c r="AJ719">
        <v>0</v>
      </c>
      <c r="AK719">
        <v>31</v>
      </c>
      <c r="AL719" t="s">
        <v>230</v>
      </c>
      <c r="AM719" t="s">
        <v>231</v>
      </c>
      <c r="AN719" t="s">
        <v>232</v>
      </c>
      <c r="AO719" t="s">
        <v>7136</v>
      </c>
      <c r="AP719" t="s">
        <v>74</v>
      </c>
      <c r="AQ719" t="s">
        <v>74</v>
      </c>
      <c r="AR719" t="s">
        <v>7128</v>
      </c>
      <c r="AS719" t="s">
        <v>7137</v>
      </c>
      <c r="AT719" t="s">
        <v>8636</v>
      </c>
      <c r="AU719">
        <v>1999</v>
      </c>
      <c r="AV719">
        <v>14</v>
      </c>
      <c r="AW719">
        <v>2</v>
      </c>
      <c r="AX719" t="s">
        <v>74</v>
      </c>
      <c r="AY719" t="s">
        <v>74</v>
      </c>
      <c r="AZ719" t="s">
        <v>74</v>
      </c>
      <c r="BA719" t="s">
        <v>74</v>
      </c>
      <c r="BB719">
        <v>118</v>
      </c>
      <c r="BC719">
        <v>134</v>
      </c>
      <c r="BD719" t="s">
        <v>74</v>
      </c>
      <c r="BE719" t="s">
        <v>9383</v>
      </c>
      <c r="BF719" t="str">
        <f>HYPERLINK("http://dx.doi.org/10.1029/1998PA900018","http://dx.doi.org/10.1029/1998PA900018")</f>
        <v>http://dx.doi.org/10.1029/1998PA900018</v>
      </c>
      <c r="BG719" t="s">
        <v>74</v>
      </c>
      <c r="BH719" t="s">
        <v>74</v>
      </c>
      <c r="BI719">
        <v>17</v>
      </c>
      <c r="BJ719" t="s">
        <v>7139</v>
      </c>
      <c r="BK719" t="s">
        <v>96</v>
      </c>
      <c r="BL719" t="s">
        <v>7140</v>
      </c>
      <c r="BM719" t="s">
        <v>9384</v>
      </c>
      <c r="BN719" t="s">
        <v>74</v>
      </c>
      <c r="BO719" t="s">
        <v>495</v>
      </c>
      <c r="BP719" t="s">
        <v>74</v>
      </c>
      <c r="BQ719" t="s">
        <v>74</v>
      </c>
      <c r="BR719" t="s">
        <v>99</v>
      </c>
      <c r="BS719" t="s">
        <v>9385</v>
      </c>
      <c r="BT719" t="str">
        <f>HYPERLINK("https%3A%2F%2Fwww.webofscience.com%2Fwos%2Fwoscc%2Ffull-record%2FWOS:000079325100003","View Full Record in Web of Science")</f>
        <v>View Full Record in Web of Science</v>
      </c>
    </row>
    <row r="720" spans="1:72" x14ac:dyDescent="0.15">
      <c r="A720" t="s">
        <v>72</v>
      </c>
      <c r="B720" t="s">
        <v>9386</v>
      </c>
      <c r="C720" t="s">
        <v>74</v>
      </c>
      <c r="D720" t="s">
        <v>74</v>
      </c>
      <c r="E720" t="s">
        <v>74</v>
      </c>
      <c r="F720" t="s">
        <v>9386</v>
      </c>
      <c r="G720" t="s">
        <v>74</v>
      </c>
      <c r="H720" t="s">
        <v>74</v>
      </c>
      <c r="I720" t="s">
        <v>9387</v>
      </c>
      <c r="J720" t="s">
        <v>7128</v>
      </c>
      <c r="K720" t="s">
        <v>74</v>
      </c>
      <c r="L720" t="s">
        <v>74</v>
      </c>
      <c r="M720" t="s">
        <v>77</v>
      </c>
      <c r="N720" t="s">
        <v>78</v>
      </c>
      <c r="O720" t="s">
        <v>74</v>
      </c>
      <c r="P720" t="s">
        <v>74</v>
      </c>
      <c r="Q720" t="s">
        <v>74</v>
      </c>
      <c r="R720" t="s">
        <v>74</v>
      </c>
      <c r="S720" t="s">
        <v>74</v>
      </c>
      <c r="T720" t="s">
        <v>74</v>
      </c>
      <c r="U720" t="s">
        <v>9388</v>
      </c>
      <c r="V720" t="s">
        <v>9389</v>
      </c>
      <c r="W720" t="s">
        <v>9390</v>
      </c>
      <c r="X720" t="s">
        <v>9391</v>
      </c>
      <c r="Y720" t="s">
        <v>9392</v>
      </c>
      <c r="Z720" t="s">
        <v>9393</v>
      </c>
      <c r="AA720" t="s">
        <v>74</v>
      </c>
      <c r="AB720" t="s">
        <v>74</v>
      </c>
      <c r="AC720" t="s">
        <v>74</v>
      </c>
      <c r="AD720" t="s">
        <v>74</v>
      </c>
      <c r="AE720" t="s">
        <v>74</v>
      </c>
      <c r="AF720" t="s">
        <v>74</v>
      </c>
      <c r="AG720">
        <v>42</v>
      </c>
      <c r="AH720">
        <v>71</v>
      </c>
      <c r="AI720">
        <v>77</v>
      </c>
      <c r="AJ720">
        <v>0</v>
      </c>
      <c r="AK720">
        <v>5</v>
      </c>
      <c r="AL720" t="s">
        <v>230</v>
      </c>
      <c r="AM720" t="s">
        <v>231</v>
      </c>
      <c r="AN720" t="s">
        <v>232</v>
      </c>
      <c r="AO720" t="s">
        <v>7136</v>
      </c>
      <c r="AP720" t="s">
        <v>9394</v>
      </c>
      <c r="AQ720" t="s">
        <v>74</v>
      </c>
      <c r="AR720" t="s">
        <v>7128</v>
      </c>
      <c r="AS720" t="s">
        <v>7137</v>
      </c>
      <c r="AT720" t="s">
        <v>8636</v>
      </c>
      <c r="AU720">
        <v>1999</v>
      </c>
      <c r="AV720">
        <v>14</v>
      </c>
      <c r="AW720">
        <v>2</v>
      </c>
      <c r="AX720" t="s">
        <v>74</v>
      </c>
      <c r="AY720" t="s">
        <v>74</v>
      </c>
      <c r="AZ720" t="s">
        <v>74</v>
      </c>
      <c r="BA720" t="s">
        <v>74</v>
      </c>
      <c r="BB720">
        <v>164</v>
      </c>
      <c r="BC720">
        <v>170</v>
      </c>
      <c r="BD720" t="s">
        <v>74</v>
      </c>
      <c r="BE720" t="s">
        <v>9395</v>
      </c>
      <c r="BF720" t="str">
        <f>HYPERLINK("http://dx.doi.org/10.1029/1998PA900026","http://dx.doi.org/10.1029/1998PA900026")</f>
        <v>http://dx.doi.org/10.1029/1998PA900026</v>
      </c>
      <c r="BG720" t="s">
        <v>74</v>
      </c>
      <c r="BH720" t="s">
        <v>74</v>
      </c>
      <c r="BI720">
        <v>7</v>
      </c>
      <c r="BJ720" t="s">
        <v>7139</v>
      </c>
      <c r="BK720" t="s">
        <v>96</v>
      </c>
      <c r="BL720" t="s">
        <v>7140</v>
      </c>
      <c r="BM720" t="s">
        <v>9384</v>
      </c>
      <c r="BN720" t="s">
        <v>74</v>
      </c>
      <c r="BO720" t="s">
        <v>250</v>
      </c>
      <c r="BP720" t="s">
        <v>74</v>
      </c>
      <c r="BQ720" t="s">
        <v>74</v>
      </c>
      <c r="BR720" t="s">
        <v>99</v>
      </c>
      <c r="BS720" t="s">
        <v>9396</v>
      </c>
      <c r="BT720" t="str">
        <f>HYPERLINK("https%3A%2F%2Fwww.webofscience.com%2Fwos%2Fwoscc%2Ffull-record%2FWOS:000079325100006","View Full Record in Web of Science")</f>
        <v>View Full Record in Web of Science</v>
      </c>
    </row>
    <row r="721" spans="1:72" x14ac:dyDescent="0.15">
      <c r="A721" t="s">
        <v>72</v>
      </c>
      <c r="B721" t="s">
        <v>9397</v>
      </c>
      <c r="C721" t="s">
        <v>74</v>
      </c>
      <c r="D721" t="s">
        <v>74</v>
      </c>
      <c r="E721" t="s">
        <v>74</v>
      </c>
      <c r="F721" t="s">
        <v>9397</v>
      </c>
      <c r="G721" t="s">
        <v>74</v>
      </c>
      <c r="H721" t="s">
        <v>74</v>
      </c>
      <c r="I721" t="s">
        <v>9398</v>
      </c>
      <c r="J721" t="s">
        <v>1375</v>
      </c>
      <c r="K721" t="s">
        <v>74</v>
      </c>
      <c r="L721" t="s">
        <v>74</v>
      </c>
      <c r="M721" t="s">
        <v>77</v>
      </c>
      <c r="N721" t="s">
        <v>78</v>
      </c>
      <c r="O721" t="s">
        <v>74</v>
      </c>
      <c r="P721" t="s">
        <v>74</v>
      </c>
      <c r="Q721" t="s">
        <v>74</v>
      </c>
      <c r="R721" t="s">
        <v>74</v>
      </c>
      <c r="S721" t="s">
        <v>74</v>
      </c>
      <c r="T721" t="s">
        <v>74</v>
      </c>
      <c r="U721" t="s">
        <v>9399</v>
      </c>
      <c r="V721" t="s">
        <v>9400</v>
      </c>
      <c r="W721" t="s">
        <v>9401</v>
      </c>
      <c r="X721" t="s">
        <v>9402</v>
      </c>
      <c r="Y721" t="s">
        <v>9403</v>
      </c>
      <c r="Z721" t="s">
        <v>74</v>
      </c>
      <c r="AA721" t="s">
        <v>74</v>
      </c>
      <c r="AB721" t="s">
        <v>9404</v>
      </c>
      <c r="AC721" t="s">
        <v>74</v>
      </c>
      <c r="AD721" t="s">
        <v>74</v>
      </c>
      <c r="AE721" t="s">
        <v>74</v>
      </c>
      <c r="AF721" t="s">
        <v>74</v>
      </c>
      <c r="AG721">
        <v>46</v>
      </c>
      <c r="AH721">
        <v>18</v>
      </c>
      <c r="AI721">
        <v>20</v>
      </c>
      <c r="AJ721">
        <v>2</v>
      </c>
      <c r="AK721">
        <v>6</v>
      </c>
      <c r="AL721" t="s">
        <v>553</v>
      </c>
      <c r="AM721" t="s">
        <v>554</v>
      </c>
      <c r="AN721" t="s">
        <v>555</v>
      </c>
      <c r="AO721" t="s">
        <v>1379</v>
      </c>
      <c r="AP721" t="s">
        <v>74</v>
      </c>
      <c r="AQ721" t="s">
        <v>74</v>
      </c>
      <c r="AR721" t="s">
        <v>1380</v>
      </c>
      <c r="AS721" t="s">
        <v>1381</v>
      </c>
      <c r="AT721" t="s">
        <v>8636</v>
      </c>
      <c r="AU721">
        <v>1999</v>
      </c>
      <c r="AV721">
        <v>21</v>
      </c>
      <c r="AW721">
        <v>4</v>
      </c>
      <c r="AX721" t="s">
        <v>74</v>
      </c>
      <c r="AY721" t="s">
        <v>74</v>
      </c>
      <c r="AZ721" t="s">
        <v>74</v>
      </c>
      <c r="BA721" t="s">
        <v>74</v>
      </c>
      <c r="BB721">
        <v>201</v>
      </c>
      <c r="BC721">
        <v>213</v>
      </c>
      <c r="BD721" t="s">
        <v>74</v>
      </c>
      <c r="BE721" t="s">
        <v>9405</v>
      </c>
      <c r="BF721" t="str">
        <f>HYPERLINK("http://dx.doi.org/10.1007/s003000050354","http://dx.doi.org/10.1007/s003000050354")</f>
        <v>http://dx.doi.org/10.1007/s003000050354</v>
      </c>
      <c r="BG721" t="s">
        <v>74</v>
      </c>
      <c r="BH721" t="s">
        <v>74</v>
      </c>
      <c r="BI721">
        <v>13</v>
      </c>
      <c r="BJ721" t="s">
        <v>1383</v>
      </c>
      <c r="BK721" t="s">
        <v>96</v>
      </c>
      <c r="BL721" t="s">
        <v>1384</v>
      </c>
      <c r="BM721" t="s">
        <v>9406</v>
      </c>
      <c r="BN721" t="s">
        <v>74</v>
      </c>
      <c r="BO721" t="s">
        <v>74</v>
      </c>
      <c r="BP721" t="s">
        <v>74</v>
      </c>
      <c r="BQ721" t="s">
        <v>74</v>
      </c>
      <c r="BR721" t="s">
        <v>99</v>
      </c>
      <c r="BS721" t="s">
        <v>9407</v>
      </c>
      <c r="BT721" t="str">
        <f>HYPERLINK("https%3A%2F%2Fwww.webofscience.com%2Fwos%2Fwoscc%2Ffull-record%2FWOS:000079518700001","View Full Record in Web of Science")</f>
        <v>View Full Record in Web of Science</v>
      </c>
    </row>
    <row r="722" spans="1:72" x14ac:dyDescent="0.15">
      <c r="A722" t="s">
        <v>72</v>
      </c>
      <c r="B722" t="s">
        <v>9408</v>
      </c>
      <c r="C722" t="s">
        <v>74</v>
      </c>
      <c r="D722" t="s">
        <v>74</v>
      </c>
      <c r="E722" t="s">
        <v>74</v>
      </c>
      <c r="F722" t="s">
        <v>9408</v>
      </c>
      <c r="G722" t="s">
        <v>74</v>
      </c>
      <c r="H722" t="s">
        <v>74</v>
      </c>
      <c r="I722" t="s">
        <v>9409</v>
      </c>
      <c r="J722" t="s">
        <v>1375</v>
      </c>
      <c r="K722" t="s">
        <v>74</v>
      </c>
      <c r="L722" t="s">
        <v>74</v>
      </c>
      <c r="M722" t="s">
        <v>77</v>
      </c>
      <c r="N722" t="s">
        <v>78</v>
      </c>
      <c r="O722" t="s">
        <v>74</v>
      </c>
      <c r="P722" t="s">
        <v>74</v>
      </c>
      <c r="Q722" t="s">
        <v>74</v>
      </c>
      <c r="R722" t="s">
        <v>74</v>
      </c>
      <c r="S722" t="s">
        <v>74</v>
      </c>
      <c r="T722" t="s">
        <v>74</v>
      </c>
      <c r="U722" t="s">
        <v>9410</v>
      </c>
      <c r="V722" t="s">
        <v>9411</v>
      </c>
      <c r="W722" t="s">
        <v>9412</v>
      </c>
      <c r="X722" t="s">
        <v>9413</v>
      </c>
      <c r="Y722" t="s">
        <v>9414</v>
      </c>
      <c r="Z722" t="s">
        <v>74</v>
      </c>
      <c r="AA722" t="s">
        <v>9415</v>
      </c>
      <c r="AB722" t="s">
        <v>9416</v>
      </c>
      <c r="AC722" t="s">
        <v>74</v>
      </c>
      <c r="AD722" t="s">
        <v>74</v>
      </c>
      <c r="AE722" t="s">
        <v>74</v>
      </c>
      <c r="AF722" t="s">
        <v>74</v>
      </c>
      <c r="AG722">
        <v>44</v>
      </c>
      <c r="AH722">
        <v>25</v>
      </c>
      <c r="AI722">
        <v>27</v>
      </c>
      <c r="AJ722">
        <v>0</v>
      </c>
      <c r="AK722">
        <v>3</v>
      </c>
      <c r="AL722" t="s">
        <v>553</v>
      </c>
      <c r="AM722" t="s">
        <v>554</v>
      </c>
      <c r="AN722" t="s">
        <v>555</v>
      </c>
      <c r="AO722" t="s">
        <v>1379</v>
      </c>
      <c r="AP722" t="s">
        <v>74</v>
      </c>
      <c r="AQ722" t="s">
        <v>74</v>
      </c>
      <c r="AR722" t="s">
        <v>1380</v>
      </c>
      <c r="AS722" t="s">
        <v>1381</v>
      </c>
      <c r="AT722" t="s">
        <v>8636</v>
      </c>
      <c r="AU722">
        <v>1999</v>
      </c>
      <c r="AV722">
        <v>21</v>
      </c>
      <c r="AW722">
        <v>4</v>
      </c>
      <c r="AX722" t="s">
        <v>74</v>
      </c>
      <c r="AY722" t="s">
        <v>74</v>
      </c>
      <c r="AZ722" t="s">
        <v>74</v>
      </c>
      <c r="BA722" t="s">
        <v>74</v>
      </c>
      <c r="BB722">
        <v>214</v>
      </c>
      <c r="BC722">
        <v>219</v>
      </c>
      <c r="BD722" t="s">
        <v>74</v>
      </c>
      <c r="BE722" t="s">
        <v>9417</v>
      </c>
      <c r="BF722" t="str">
        <f>HYPERLINK("http://dx.doi.org/10.1007/s003000050355","http://dx.doi.org/10.1007/s003000050355")</f>
        <v>http://dx.doi.org/10.1007/s003000050355</v>
      </c>
      <c r="BG722" t="s">
        <v>74</v>
      </c>
      <c r="BH722" t="s">
        <v>74</v>
      </c>
      <c r="BI722">
        <v>6</v>
      </c>
      <c r="BJ722" t="s">
        <v>1383</v>
      </c>
      <c r="BK722" t="s">
        <v>96</v>
      </c>
      <c r="BL722" t="s">
        <v>1384</v>
      </c>
      <c r="BM722" t="s">
        <v>9406</v>
      </c>
      <c r="BN722" t="s">
        <v>74</v>
      </c>
      <c r="BO722" t="s">
        <v>74</v>
      </c>
      <c r="BP722" t="s">
        <v>74</v>
      </c>
      <c r="BQ722" t="s">
        <v>74</v>
      </c>
      <c r="BR722" t="s">
        <v>99</v>
      </c>
      <c r="BS722" t="s">
        <v>9418</v>
      </c>
      <c r="BT722" t="str">
        <f>HYPERLINK("https%3A%2F%2Fwww.webofscience.com%2Fwos%2Fwoscc%2Ffull-record%2FWOS:000079518700002","View Full Record in Web of Science")</f>
        <v>View Full Record in Web of Science</v>
      </c>
    </row>
    <row r="723" spans="1:72" x14ac:dyDescent="0.15">
      <c r="A723" t="s">
        <v>72</v>
      </c>
      <c r="B723" t="s">
        <v>9419</v>
      </c>
      <c r="C723" t="s">
        <v>74</v>
      </c>
      <c r="D723" t="s">
        <v>74</v>
      </c>
      <c r="E723" t="s">
        <v>74</v>
      </c>
      <c r="F723" t="s">
        <v>9419</v>
      </c>
      <c r="G723" t="s">
        <v>74</v>
      </c>
      <c r="H723" t="s">
        <v>74</v>
      </c>
      <c r="I723" t="s">
        <v>9420</v>
      </c>
      <c r="J723" t="s">
        <v>1375</v>
      </c>
      <c r="K723" t="s">
        <v>74</v>
      </c>
      <c r="L723" t="s">
        <v>74</v>
      </c>
      <c r="M723" t="s">
        <v>77</v>
      </c>
      <c r="N723" t="s">
        <v>78</v>
      </c>
      <c r="O723" t="s">
        <v>74</v>
      </c>
      <c r="P723" t="s">
        <v>74</v>
      </c>
      <c r="Q723" t="s">
        <v>74</v>
      </c>
      <c r="R723" t="s">
        <v>74</v>
      </c>
      <c r="S723" t="s">
        <v>74</v>
      </c>
      <c r="T723" t="s">
        <v>74</v>
      </c>
      <c r="U723" t="s">
        <v>9421</v>
      </c>
      <c r="V723" t="s">
        <v>9422</v>
      </c>
      <c r="W723" t="s">
        <v>9423</v>
      </c>
      <c r="X723" t="s">
        <v>9424</v>
      </c>
      <c r="Y723" t="s">
        <v>5249</v>
      </c>
      <c r="Z723" t="s">
        <v>9425</v>
      </c>
      <c r="AA723" t="s">
        <v>9426</v>
      </c>
      <c r="AB723" t="s">
        <v>9427</v>
      </c>
      <c r="AC723" t="s">
        <v>74</v>
      </c>
      <c r="AD723" t="s">
        <v>74</v>
      </c>
      <c r="AE723" t="s">
        <v>74</v>
      </c>
      <c r="AF723" t="s">
        <v>74</v>
      </c>
      <c r="AG723">
        <v>47</v>
      </c>
      <c r="AH723">
        <v>64</v>
      </c>
      <c r="AI723">
        <v>67</v>
      </c>
      <c r="AJ723">
        <v>0</v>
      </c>
      <c r="AK723">
        <v>7</v>
      </c>
      <c r="AL723" t="s">
        <v>705</v>
      </c>
      <c r="AM723" t="s">
        <v>554</v>
      </c>
      <c r="AN723" t="s">
        <v>1242</v>
      </c>
      <c r="AO723" t="s">
        <v>1379</v>
      </c>
      <c r="AP723" t="s">
        <v>2523</v>
      </c>
      <c r="AQ723" t="s">
        <v>74</v>
      </c>
      <c r="AR723" t="s">
        <v>1380</v>
      </c>
      <c r="AS723" t="s">
        <v>1381</v>
      </c>
      <c r="AT723" t="s">
        <v>8636</v>
      </c>
      <c r="AU723">
        <v>1999</v>
      </c>
      <c r="AV723">
        <v>21</v>
      </c>
      <c r="AW723">
        <v>4</v>
      </c>
      <c r="AX723" t="s">
        <v>74</v>
      </c>
      <c r="AY723" t="s">
        <v>74</v>
      </c>
      <c r="AZ723" t="s">
        <v>74</v>
      </c>
      <c r="BA723" t="s">
        <v>74</v>
      </c>
      <c r="BB723">
        <v>220</v>
      </c>
      <c r="BC723">
        <v>227</v>
      </c>
      <c r="BD723" t="s">
        <v>74</v>
      </c>
      <c r="BE723" t="s">
        <v>9428</v>
      </c>
      <c r="BF723" t="str">
        <f>HYPERLINK("http://dx.doi.org/10.1007/s003000050356","http://dx.doi.org/10.1007/s003000050356")</f>
        <v>http://dx.doi.org/10.1007/s003000050356</v>
      </c>
      <c r="BG723" t="s">
        <v>74</v>
      </c>
      <c r="BH723" t="s">
        <v>74</v>
      </c>
      <c r="BI723">
        <v>8</v>
      </c>
      <c r="BJ723" t="s">
        <v>1383</v>
      </c>
      <c r="BK723" t="s">
        <v>96</v>
      </c>
      <c r="BL723" t="s">
        <v>1384</v>
      </c>
      <c r="BM723" t="s">
        <v>9406</v>
      </c>
      <c r="BN723" t="s">
        <v>74</v>
      </c>
      <c r="BO723" t="s">
        <v>74</v>
      </c>
      <c r="BP723" t="s">
        <v>74</v>
      </c>
      <c r="BQ723" t="s">
        <v>74</v>
      </c>
      <c r="BR723" t="s">
        <v>99</v>
      </c>
      <c r="BS723" t="s">
        <v>9429</v>
      </c>
      <c r="BT723" t="str">
        <f>HYPERLINK("https%3A%2F%2Fwww.webofscience.com%2Fwos%2Fwoscc%2Ffull-record%2FWOS:000079518700003","View Full Record in Web of Science")</f>
        <v>View Full Record in Web of Science</v>
      </c>
    </row>
    <row r="724" spans="1:72" x14ac:dyDescent="0.15">
      <c r="A724" t="s">
        <v>72</v>
      </c>
      <c r="B724" t="s">
        <v>9430</v>
      </c>
      <c r="C724" t="s">
        <v>74</v>
      </c>
      <c r="D724" t="s">
        <v>74</v>
      </c>
      <c r="E724" t="s">
        <v>74</v>
      </c>
      <c r="F724" t="s">
        <v>9430</v>
      </c>
      <c r="G724" t="s">
        <v>74</v>
      </c>
      <c r="H724" t="s">
        <v>74</v>
      </c>
      <c r="I724" t="s">
        <v>9431</v>
      </c>
      <c r="J724" t="s">
        <v>1375</v>
      </c>
      <c r="K724" t="s">
        <v>74</v>
      </c>
      <c r="L724" t="s">
        <v>74</v>
      </c>
      <c r="M724" t="s">
        <v>77</v>
      </c>
      <c r="N724" t="s">
        <v>78</v>
      </c>
      <c r="O724" t="s">
        <v>74</v>
      </c>
      <c r="P724" t="s">
        <v>74</v>
      </c>
      <c r="Q724" t="s">
        <v>74</v>
      </c>
      <c r="R724" t="s">
        <v>74</v>
      </c>
      <c r="S724" t="s">
        <v>74</v>
      </c>
      <c r="T724" t="s">
        <v>74</v>
      </c>
      <c r="U724" t="s">
        <v>9432</v>
      </c>
      <c r="V724" t="s">
        <v>9433</v>
      </c>
      <c r="W724" t="s">
        <v>9434</v>
      </c>
      <c r="X724" t="s">
        <v>2221</v>
      </c>
      <c r="Y724" t="s">
        <v>9435</v>
      </c>
      <c r="Z724" t="s">
        <v>74</v>
      </c>
      <c r="AA724" t="s">
        <v>9436</v>
      </c>
      <c r="AB724" t="s">
        <v>9437</v>
      </c>
      <c r="AC724" t="s">
        <v>74</v>
      </c>
      <c r="AD724" t="s">
        <v>74</v>
      </c>
      <c r="AE724" t="s">
        <v>74</v>
      </c>
      <c r="AF724" t="s">
        <v>74</v>
      </c>
      <c r="AG724">
        <v>51</v>
      </c>
      <c r="AH724">
        <v>24</v>
      </c>
      <c r="AI724">
        <v>25</v>
      </c>
      <c r="AJ724">
        <v>0</v>
      </c>
      <c r="AK724">
        <v>12</v>
      </c>
      <c r="AL724" t="s">
        <v>553</v>
      </c>
      <c r="AM724" t="s">
        <v>554</v>
      </c>
      <c r="AN724" t="s">
        <v>555</v>
      </c>
      <c r="AO724" t="s">
        <v>1379</v>
      </c>
      <c r="AP724" t="s">
        <v>74</v>
      </c>
      <c r="AQ724" t="s">
        <v>74</v>
      </c>
      <c r="AR724" t="s">
        <v>1380</v>
      </c>
      <c r="AS724" t="s">
        <v>1381</v>
      </c>
      <c r="AT724" t="s">
        <v>8636</v>
      </c>
      <c r="AU724">
        <v>1999</v>
      </c>
      <c r="AV724">
        <v>21</v>
      </c>
      <c r="AW724">
        <v>4</v>
      </c>
      <c r="AX724" t="s">
        <v>74</v>
      </c>
      <c r="AY724" t="s">
        <v>74</v>
      </c>
      <c r="AZ724" t="s">
        <v>74</v>
      </c>
      <c r="BA724" t="s">
        <v>74</v>
      </c>
      <c r="BB724">
        <v>240</v>
      </c>
      <c r="BC724">
        <v>250</v>
      </c>
      <c r="BD724" t="s">
        <v>74</v>
      </c>
      <c r="BE724" t="s">
        <v>9438</v>
      </c>
      <c r="BF724" t="str">
        <f>HYPERLINK("http://dx.doi.org/10.1007/s003000050359","http://dx.doi.org/10.1007/s003000050359")</f>
        <v>http://dx.doi.org/10.1007/s003000050359</v>
      </c>
      <c r="BG724" t="s">
        <v>74</v>
      </c>
      <c r="BH724" t="s">
        <v>74</v>
      </c>
      <c r="BI724">
        <v>11</v>
      </c>
      <c r="BJ724" t="s">
        <v>1383</v>
      </c>
      <c r="BK724" t="s">
        <v>96</v>
      </c>
      <c r="BL724" t="s">
        <v>1384</v>
      </c>
      <c r="BM724" t="s">
        <v>9406</v>
      </c>
      <c r="BN724" t="s">
        <v>74</v>
      </c>
      <c r="BO724" t="s">
        <v>74</v>
      </c>
      <c r="BP724" t="s">
        <v>74</v>
      </c>
      <c r="BQ724" t="s">
        <v>74</v>
      </c>
      <c r="BR724" t="s">
        <v>99</v>
      </c>
      <c r="BS724" t="s">
        <v>9439</v>
      </c>
      <c r="BT724" t="str">
        <f>HYPERLINK("https%3A%2F%2Fwww.webofscience.com%2Fwos%2Fwoscc%2Ffull-record%2FWOS:000079518700006","View Full Record in Web of Science")</f>
        <v>View Full Record in Web of Science</v>
      </c>
    </row>
    <row r="725" spans="1:72" x14ac:dyDescent="0.15">
      <c r="A725" t="s">
        <v>72</v>
      </c>
      <c r="B725" t="s">
        <v>9440</v>
      </c>
      <c r="C725" t="s">
        <v>74</v>
      </c>
      <c r="D725" t="s">
        <v>74</v>
      </c>
      <c r="E725" t="s">
        <v>74</v>
      </c>
      <c r="F725" t="s">
        <v>9440</v>
      </c>
      <c r="G725" t="s">
        <v>74</v>
      </c>
      <c r="H725" t="s">
        <v>74</v>
      </c>
      <c r="I725" t="s">
        <v>9441</v>
      </c>
      <c r="J725" t="s">
        <v>1375</v>
      </c>
      <c r="K725" t="s">
        <v>74</v>
      </c>
      <c r="L725" t="s">
        <v>74</v>
      </c>
      <c r="M725" t="s">
        <v>77</v>
      </c>
      <c r="N725" t="s">
        <v>78</v>
      </c>
      <c r="O725" t="s">
        <v>74</v>
      </c>
      <c r="P725" t="s">
        <v>74</v>
      </c>
      <c r="Q725" t="s">
        <v>74</v>
      </c>
      <c r="R725" t="s">
        <v>74</v>
      </c>
      <c r="S725" t="s">
        <v>74</v>
      </c>
      <c r="T725" t="s">
        <v>74</v>
      </c>
      <c r="U725" t="s">
        <v>9442</v>
      </c>
      <c r="V725" t="s">
        <v>9443</v>
      </c>
      <c r="W725" t="s">
        <v>9444</v>
      </c>
      <c r="X725" t="s">
        <v>9445</v>
      </c>
      <c r="Y725" t="s">
        <v>9446</v>
      </c>
      <c r="Z725" t="s">
        <v>74</v>
      </c>
      <c r="AA725" t="s">
        <v>74</v>
      </c>
      <c r="AB725" t="s">
        <v>74</v>
      </c>
      <c r="AC725" t="s">
        <v>74</v>
      </c>
      <c r="AD725" t="s">
        <v>74</v>
      </c>
      <c r="AE725" t="s">
        <v>74</v>
      </c>
      <c r="AF725" t="s">
        <v>74</v>
      </c>
      <c r="AG725">
        <v>45</v>
      </c>
      <c r="AH725">
        <v>38</v>
      </c>
      <c r="AI725">
        <v>43</v>
      </c>
      <c r="AJ725">
        <v>2</v>
      </c>
      <c r="AK725">
        <v>14</v>
      </c>
      <c r="AL725" t="s">
        <v>553</v>
      </c>
      <c r="AM725" t="s">
        <v>554</v>
      </c>
      <c r="AN725" t="s">
        <v>555</v>
      </c>
      <c r="AO725" t="s">
        <v>1379</v>
      </c>
      <c r="AP725" t="s">
        <v>74</v>
      </c>
      <c r="AQ725" t="s">
        <v>74</v>
      </c>
      <c r="AR725" t="s">
        <v>1380</v>
      </c>
      <c r="AS725" t="s">
        <v>1381</v>
      </c>
      <c r="AT725" t="s">
        <v>8636</v>
      </c>
      <c r="AU725">
        <v>1999</v>
      </c>
      <c r="AV725">
        <v>21</v>
      </c>
      <c r="AW725">
        <v>4</v>
      </c>
      <c r="AX725" t="s">
        <v>74</v>
      </c>
      <c r="AY725" t="s">
        <v>74</v>
      </c>
      <c r="AZ725" t="s">
        <v>74</v>
      </c>
      <c r="BA725" t="s">
        <v>74</v>
      </c>
      <c r="BB725">
        <v>251</v>
      </c>
      <c r="BC725">
        <v>261</v>
      </c>
      <c r="BD725" t="s">
        <v>74</v>
      </c>
      <c r="BE725" t="s">
        <v>9447</v>
      </c>
      <c r="BF725" t="str">
        <f>HYPERLINK("http://dx.doi.org/10.1007/s003000050360","http://dx.doi.org/10.1007/s003000050360")</f>
        <v>http://dx.doi.org/10.1007/s003000050360</v>
      </c>
      <c r="BG725" t="s">
        <v>74</v>
      </c>
      <c r="BH725" t="s">
        <v>74</v>
      </c>
      <c r="BI725">
        <v>11</v>
      </c>
      <c r="BJ725" t="s">
        <v>1383</v>
      </c>
      <c r="BK725" t="s">
        <v>96</v>
      </c>
      <c r="BL725" t="s">
        <v>1384</v>
      </c>
      <c r="BM725" t="s">
        <v>9406</v>
      </c>
      <c r="BN725" t="s">
        <v>74</v>
      </c>
      <c r="BO725" t="s">
        <v>74</v>
      </c>
      <c r="BP725" t="s">
        <v>74</v>
      </c>
      <c r="BQ725" t="s">
        <v>74</v>
      </c>
      <c r="BR725" t="s">
        <v>99</v>
      </c>
      <c r="BS725" t="s">
        <v>9448</v>
      </c>
      <c r="BT725" t="str">
        <f>HYPERLINK("https%3A%2F%2Fwww.webofscience.com%2Fwos%2Fwoscc%2Ffull-record%2FWOS:000079518700007","View Full Record in Web of Science")</f>
        <v>View Full Record in Web of Science</v>
      </c>
    </row>
    <row r="726" spans="1:72" x14ac:dyDescent="0.15">
      <c r="A726" t="s">
        <v>72</v>
      </c>
      <c r="B726" t="s">
        <v>9449</v>
      </c>
      <c r="C726" t="s">
        <v>74</v>
      </c>
      <c r="D726" t="s">
        <v>74</v>
      </c>
      <c r="E726" t="s">
        <v>74</v>
      </c>
      <c r="F726" t="s">
        <v>9449</v>
      </c>
      <c r="G726" t="s">
        <v>74</v>
      </c>
      <c r="H726" t="s">
        <v>74</v>
      </c>
      <c r="I726" t="s">
        <v>9450</v>
      </c>
      <c r="J726" t="s">
        <v>9451</v>
      </c>
      <c r="K726" t="s">
        <v>74</v>
      </c>
      <c r="L726" t="s">
        <v>74</v>
      </c>
      <c r="M726" t="s">
        <v>77</v>
      </c>
      <c r="N726" t="s">
        <v>78</v>
      </c>
      <c r="O726" t="s">
        <v>74</v>
      </c>
      <c r="P726" t="s">
        <v>74</v>
      </c>
      <c r="Q726" t="s">
        <v>74</v>
      </c>
      <c r="R726" t="s">
        <v>74</v>
      </c>
      <c r="S726" t="s">
        <v>74</v>
      </c>
      <c r="T726" t="s">
        <v>9452</v>
      </c>
      <c r="U726" t="s">
        <v>9453</v>
      </c>
      <c r="V726" t="s">
        <v>9454</v>
      </c>
      <c r="W726" t="s">
        <v>9455</v>
      </c>
      <c r="X726" t="s">
        <v>9456</v>
      </c>
      <c r="Y726" t="s">
        <v>9457</v>
      </c>
      <c r="Z726" t="s">
        <v>9458</v>
      </c>
      <c r="AA726" t="s">
        <v>9459</v>
      </c>
      <c r="AB726" t="s">
        <v>9460</v>
      </c>
      <c r="AC726" t="s">
        <v>74</v>
      </c>
      <c r="AD726" t="s">
        <v>74</v>
      </c>
      <c r="AE726" t="s">
        <v>74</v>
      </c>
      <c r="AF726" t="s">
        <v>74</v>
      </c>
      <c r="AG726">
        <v>55</v>
      </c>
      <c r="AH726">
        <v>95</v>
      </c>
      <c r="AI726">
        <v>100</v>
      </c>
      <c r="AJ726">
        <v>0</v>
      </c>
      <c r="AK726">
        <v>2</v>
      </c>
      <c r="AL726" t="s">
        <v>1263</v>
      </c>
      <c r="AM726" t="s">
        <v>211</v>
      </c>
      <c r="AN726" t="s">
        <v>1264</v>
      </c>
      <c r="AO726" t="s">
        <v>9461</v>
      </c>
      <c r="AP726" t="s">
        <v>9462</v>
      </c>
      <c r="AQ726" t="s">
        <v>74</v>
      </c>
      <c r="AR726" t="s">
        <v>9463</v>
      </c>
      <c r="AS726" t="s">
        <v>9464</v>
      </c>
      <c r="AT726" t="s">
        <v>8636</v>
      </c>
      <c r="AU726">
        <v>1999</v>
      </c>
      <c r="AV726">
        <v>94</v>
      </c>
      <c r="AW726" t="s">
        <v>141</v>
      </c>
      <c r="AX726" t="s">
        <v>74</v>
      </c>
      <c r="AY726" t="s">
        <v>74</v>
      </c>
      <c r="AZ726" t="s">
        <v>74</v>
      </c>
      <c r="BA726" t="s">
        <v>74</v>
      </c>
      <c r="BB726">
        <v>205</v>
      </c>
      <c r="BC726">
        <v>224</v>
      </c>
      <c r="BD726" t="s">
        <v>74</v>
      </c>
      <c r="BE726" t="s">
        <v>9465</v>
      </c>
      <c r="BF726" t="str">
        <f>HYPERLINK("http://dx.doi.org/10.1016/S0301-9268(98)00119-3","http://dx.doi.org/10.1016/S0301-9268(98)00119-3")</f>
        <v>http://dx.doi.org/10.1016/S0301-9268(98)00119-3</v>
      </c>
      <c r="BG726" t="s">
        <v>74</v>
      </c>
      <c r="BH726" t="s">
        <v>74</v>
      </c>
      <c r="BI726">
        <v>20</v>
      </c>
      <c r="BJ726" t="s">
        <v>387</v>
      </c>
      <c r="BK726" t="s">
        <v>96</v>
      </c>
      <c r="BL726" t="s">
        <v>388</v>
      </c>
      <c r="BM726" t="s">
        <v>9466</v>
      </c>
      <c r="BN726" t="s">
        <v>74</v>
      </c>
      <c r="BO726" t="s">
        <v>74</v>
      </c>
      <c r="BP726" t="s">
        <v>74</v>
      </c>
      <c r="BQ726" t="s">
        <v>74</v>
      </c>
      <c r="BR726" t="s">
        <v>99</v>
      </c>
      <c r="BS726" t="s">
        <v>9467</v>
      </c>
      <c r="BT726" t="str">
        <f>HYPERLINK("https%3A%2F%2Fwww.webofscience.com%2Fwos%2Fwoscc%2Ffull-record%2FWOS:000079110900003","View Full Record in Web of Science")</f>
        <v>View Full Record in Web of Science</v>
      </c>
    </row>
    <row r="727" spans="1:72" x14ac:dyDescent="0.15">
      <c r="A727" t="s">
        <v>72</v>
      </c>
      <c r="B727" t="s">
        <v>9468</v>
      </c>
      <c r="C727" t="s">
        <v>74</v>
      </c>
      <c r="D727" t="s">
        <v>74</v>
      </c>
      <c r="E727" t="s">
        <v>74</v>
      </c>
      <c r="F727" t="s">
        <v>9468</v>
      </c>
      <c r="G727" t="s">
        <v>74</v>
      </c>
      <c r="H727" t="s">
        <v>74</v>
      </c>
      <c r="I727" t="s">
        <v>9469</v>
      </c>
      <c r="J727" t="s">
        <v>9470</v>
      </c>
      <c r="K727" t="s">
        <v>74</v>
      </c>
      <c r="L727" t="s">
        <v>74</v>
      </c>
      <c r="M727" t="s">
        <v>77</v>
      </c>
      <c r="N727" t="s">
        <v>78</v>
      </c>
      <c r="O727" t="s">
        <v>74</v>
      </c>
      <c r="P727" t="s">
        <v>74</v>
      </c>
      <c r="Q727" t="s">
        <v>74</v>
      </c>
      <c r="R727" t="s">
        <v>74</v>
      </c>
      <c r="S727" t="s">
        <v>74</v>
      </c>
      <c r="T727" t="s">
        <v>74</v>
      </c>
      <c r="U727" t="s">
        <v>9471</v>
      </c>
      <c r="V727" t="s">
        <v>9472</v>
      </c>
      <c r="W727" t="s">
        <v>9473</v>
      </c>
      <c r="X727" t="s">
        <v>9474</v>
      </c>
      <c r="Y727" t="s">
        <v>9475</v>
      </c>
      <c r="Z727" t="s">
        <v>9476</v>
      </c>
      <c r="AA727" t="s">
        <v>8881</v>
      </c>
      <c r="AB727" t="s">
        <v>8882</v>
      </c>
      <c r="AC727" t="s">
        <v>74</v>
      </c>
      <c r="AD727" t="s">
        <v>74</v>
      </c>
      <c r="AE727" t="s">
        <v>74</v>
      </c>
      <c r="AF727" t="s">
        <v>74</v>
      </c>
      <c r="AG727">
        <v>38</v>
      </c>
      <c r="AH727">
        <v>22</v>
      </c>
      <c r="AI727">
        <v>25</v>
      </c>
      <c r="AJ727">
        <v>0</v>
      </c>
      <c r="AK727">
        <v>5</v>
      </c>
      <c r="AL727" t="s">
        <v>1978</v>
      </c>
      <c r="AM727" t="s">
        <v>554</v>
      </c>
      <c r="AN727" t="s">
        <v>1979</v>
      </c>
      <c r="AO727" t="s">
        <v>9477</v>
      </c>
      <c r="AP727" t="s">
        <v>9478</v>
      </c>
      <c r="AQ727" t="s">
        <v>74</v>
      </c>
      <c r="AR727" t="s">
        <v>9479</v>
      </c>
      <c r="AS727" t="s">
        <v>9480</v>
      </c>
      <c r="AT727" t="s">
        <v>8636</v>
      </c>
      <c r="AU727">
        <v>1999</v>
      </c>
      <c r="AV727">
        <v>68</v>
      </c>
      <c r="AW727">
        <v>1</v>
      </c>
      <c r="AX727" t="s">
        <v>74</v>
      </c>
      <c r="AY727" t="s">
        <v>74</v>
      </c>
      <c r="AZ727" t="s">
        <v>74</v>
      </c>
      <c r="BA727" t="s">
        <v>74</v>
      </c>
      <c r="BB727">
        <v>61</v>
      </c>
      <c r="BC727">
        <v>76</v>
      </c>
      <c r="BD727" t="s">
        <v>74</v>
      </c>
      <c r="BE727" t="s">
        <v>9481</v>
      </c>
      <c r="BF727" t="str">
        <f>HYPERLINK("http://dx.doi.org/10.1016/S0034-4257(98)00100-X","http://dx.doi.org/10.1016/S0034-4257(98)00100-X")</f>
        <v>http://dx.doi.org/10.1016/S0034-4257(98)00100-X</v>
      </c>
      <c r="BG727" t="s">
        <v>74</v>
      </c>
      <c r="BH727" t="s">
        <v>74</v>
      </c>
      <c r="BI727">
        <v>16</v>
      </c>
      <c r="BJ727" t="s">
        <v>9482</v>
      </c>
      <c r="BK727" t="s">
        <v>96</v>
      </c>
      <c r="BL727" t="s">
        <v>9483</v>
      </c>
      <c r="BM727" t="s">
        <v>9484</v>
      </c>
      <c r="BN727" t="s">
        <v>74</v>
      </c>
      <c r="BO727" t="s">
        <v>74</v>
      </c>
      <c r="BP727" t="s">
        <v>74</v>
      </c>
      <c r="BQ727" t="s">
        <v>74</v>
      </c>
      <c r="BR727" t="s">
        <v>99</v>
      </c>
      <c r="BS727" t="s">
        <v>9485</v>
      </c>
      <c r="BT727" t="str">
        <f>HYPERLINK("https%3A%2F%2Fwww.webofscience.com%2Fwos%2Fwoscc%2Ffull-record%2FWOS:000079264400006","View Full Record in Web of Science")</f>
        <v>View Full Record in Web of Science</v>
      </c>
    </row>
    <row r="728" spans="1:72" x14ac:dyDescent="0.15">
      <c r="A728" t="s">
        <v>72</v>
      </c>
      <c r="B728" t="s">
        <v>9486</v>
      </c>
      <c r="C728" t="s">
        <v>74</v>
      </c>
      <c r="D728" t="s">
        <v>74</v>
      </c>
      <c r="E728" t="s">
        <v>74</v>
      </c>
      <c r="F728" t="s">
        <v>9486</v>
      </c>
      <c r="G728" t="s">
        <v>74</v>
      </c>
      <c r="H728" t="s">
        <v>74</v>
      </c>
      <c r="I728" t="s">
        <v>9487</v>
      </c>
      <c r="J728" t="s">
        <v>3870</v>
      </c>
      <c r="K728" t="s">
        <v>74</v>
      </c>
      <c r="L728" t="s">
        <v>74</v>
      </c>
      <c r="M728" t="s">
        <v>77</v>
      </c>
      <c r="N728" t="s">
        <v>123</v>
      </c>
      <c r="O728" t="s">
        <v>6150</v>
      </c>
      <c r="P728" t="s">
        <v>6151</v>
      </c>
      <c r="Q728" t="s">
        <v>6152</v>
      </c>
      <c r="R728" t="s">
        <v>74</v>
      </c>
      <c r="S728" t="s">
        <v>74</v>
      </c>
      <c r="T728" t="s">
        <v>74</v>
      </c>
      <c r="U728" t="s">
        <v>9488</v>
      </c>
      <c r="V728" t="s">
        <v>9489</v>
      </c>
      <c r="W728" t="s">
        <v>9490</v>
      </c>
      <c r="X728" t="s">
        <v>4874</v>
      </c>
      <c r="Y728" t="s">
        <v>9491</v>
      </c>
      <c r="Z728" t="s">
        <v>74</v>
      </c>
      <c r="AA728" t="s">
        <v>74</v>
      </c>
      <c r="AB728" t="s">
        <v>74</v>
      </c>
      <c r="AC728" t="s">
        <v>74</v>
      </c>
      <c r="AD728" t="s">
        <v>74</v>
      </c>
      <c r="AE728" t="s">
        <v>74</v>
      </c>
      <c r="AF728" t="s">
        <v>74</v>
      </c>
      <c r="AG728">
        <v>35</v>
      </c>
      <c r="AH728">
        <v>11</v>
      </c>
      <c r="AI728">
        <v>12</v>
      </c>
      <c r="AJ728">
        <v>3</v>
      </c>
      <c r="AK728">
        <v>9</v>
      </c>
      <c r="AL728" t="s">
        <v>1645</v>
      </c>
      <c r="AM728" t="s">
        <v>1646</v>
      </c>
      <c r="AN728" t="s">
        <v>1647</v>
      </c>
      <c r="AO728" t="s">
        <v>9492</v>
      </c>
      <c r="AP728" t="s">
        <v>74</v>
      </c>
      <c r="AQ728" t="s">
        <v>74</v>
      </c>
      <c r="AR728" t="s">
        <v>3882</v>
      </c>
      <c r="AS728" t="s">
        <v>3883</v>
      </c>
      <c r="AT728" t="s">
        <v>8636</v>
      </c>
      <c r="AU728">
        <v>1999</v>
      </c>
      <c r="AV728">
        <v>51</v>
      </c>
      <c r="AW728">
        <v>2</v>
      </c>
      <c r="AX728" t="s">
        <v>74</v>
      </c>
      <c r="AY728" t="s">
        <v>74</v>
      </c>
      <c r="AZ728" t="s">
        <v>74</v>
      </c>
      <c r="BA728" t="s">
        <v>74</v>
      </c>
      <c r="BB728">
        <v>151</v>
      </c>
      <c r="BC728">
        <v>155</v>
      </c>
      <c r="BD728" t="s">
        <v>74</v>
      </c>
      <c r="BE728" t="s">
        <v>9493</v>
      </c>
      <c r="BF728" t="str">
        <f>HYPERLINK("http://dx.doi.org/10.1034/j.1600-0889.1999.t01-1-00002.x","http://dx.doi.org/10.1034/j.1600-0889.1999.t01-1-00002.x")</f>
        <v>http://dx.doi.org/10.1034/j.1600-0889.1999.t01-1-00002.x</v>
      </c>
      <c r="BG728" t="s">
        <v>74</v>
      </c>
      <c r="BH728" t="s">
        <v>74</v>
      </c>
      <c r="BI728">
        <v>5</v>
      </c>
      <c r="BJ728" t="s">
        <v>95</v>
      </c>
      <c r="BK728" t="s">
        <v>156</v>
      </c>
      <c r="BL728" t="s">
        <v>95</v>
      </c>
      <c r="BM728" t="s">
        <v>9494</v>
      </c>
      <c r="BN728" t="s">
        <v>74</v>
      </c>
      <c r="BO728" t="s">
        <v>74</v>
      </c>
      <c r="BP728" t="s">
        <v>74</v>
      </c>
      <c r="BQ728" t="s">
        <v>74</v>
      </c>
      <c r="BR728" t="s">
        <v>99</v>
      </c>
      <c r="BS728" t="s">
        <v>9495</v>
      </c>
      <c r="BT728" t="str">
        <f>HYPERLINK("https%3A%2F%2Fwww.webofscience.com%2Fwos%2Fwoscc%2Ffull-record%2FWOS:000081143400002","View Full Record in Web of Science")</f>
        <v>View Full Record in Web of Science</v>
      </c>
    </row>
    <row r="729" spans="1:72" x14ac:dyDescent="0.15">
      <c r="A729" t="s">
        <v>72</v>
      </c>
      <c r="B729" t="s">
        <v>9496</v>
      </c>
      <c r="C729" t="s">
        <v>74</v>
      </c>
      <c r="D729" t="s">
        <v>74</v>
      </c>
      <c r="E729" t="s">
        <v>74</v>
      </c>
      <c r="F729" t="s">
        <v>9496</v>
      </c>
      <c r="G729" t="s">
        <v>74</v>
      </c>
      <c r="H729" t="s">
        <v>74</v>
      </c>
      <c r="I729" t="s">
        <v>9497</v>
      </c>
      <c r="J729" t="s">
        <v>3870</v>
      </c>
      <c r="K729" t="s">
        <v>74</v>
      </c>
      <c r="L729" t="s">
        <v>74</v>
      </c>
      <c r="M729" t="s">
        <v>77</v>
      </c>
      <c r="N729" t="s">
        <v>123</v>
      </c>
      <c r="O729" t="s">
        <v>6150</v>
      </c>
      <c r="P729" t="s">
        <v>6151</v>
      </c>
      <c r="Q729" t="s">
        <v>6152</v>
      </c>
      <c r="R729" t="s">
        <v>74</v>
      </c>
      <c r="S729" t="s">
        <v>74</v>
      </c>
      <c r="T729" t="s">
        <v>74</v>
      </c>
      <c r="U729" t="s">
        <v>9498</v>
      </c>
      <c r="V729" t="s">
        <v>9499</v>
      </c>
      <c r="W729" t="s">
        <v>9500</v>
      </c>
      <c r="X729" t="s">
        <v>9501</v>
      </c>
      <c r="Y729" t="s">
        <v>9502</v>
      </c>
      <c r="Z729" t="s">
        <v>74</v>
      </c>
      <c r="AA729" t="s">
        <v>9503</v>
      </c>
      <c r="AB729" t="s">
        <v>9504</v>
      </c>
      <c r="AC729" t="s">
        <v>74</v>
      </c>
      <c r="AD729" t="s">
        <v>74</v>
      </c>
      <c r="AE729" t="s">
        <v>74</v>
      </c>
      <c r="AF729" t="s">
        <v>74</v>
      </c>
      <c r="AG729">
        <v>63</v>
      </c>
      <c r="AH729">
        <v>640</v>
      </c>
      <c r="AI729">
        <v>738</v>
      </c>
      <c r="AJ729">
        <v>2</v>
      </c>
      <c r="AK729">
        <v>160</v>
      </c>
      <c r="AL729" t="s">
        <v>9505</v>
      </c>
      <c r="AM729" t="s">
        <v>9506</v>
      </c>
      <c r="AN729" t="s">
        <v>9507</v>
      </c>
      <c r="AO729" t="s">
        <v>3881</v>
      </c>
      <c r="AP729" t="s">
        <v>9492</v>
      </c>
      <c r="AQ729" t="s">
        <v>74</v>
      </c>
      <c r="AR729" t="s">
        <v>3882</v>
      </c>
      <c r="AS729" t="s">
        <v>3883</v>
      </c>
      <c r="AT729" t="s">
        <v>8636</v>
      </c>
      <c r="AU729">
        <v>1999</v>
      </c>
      <c r="AV729">
        <v>51</v>
      </c>
      <c r="AW729">
        <v>2</v>
      </c>
      <c r="AX729" t="s">
        <v>74</v>
      </c>
      <c r="AY729" t="s">
        <v>74</v>
      </c>
      <c r="AZ729" t="s">
        <v>74</v>
      </c>
      <c r="BA729" t="s">
        <v>74</v>
      </c>
      <c r="BB729">
        <v>170</v>
      </c>
      <c r="BC729">
        <v>193</v>
      </c>
      <c r="BD729" t="s">
        <v>74</v>
      </c>
      <c r="BE729" t="s">
        <v>9508</v>
      </c>
      <c r="BF729" t="str">
        <f>HYPERLINK("http://dx.doi.org/10.1034/j.1600-0889.1999.t01-1-00005.x","http://dx.doi.org/10.1034/j.1600-0889.1999.t01-1-00005.x")</f>
        <v>http://dx.doi.org/10.1034/j.1600-0889.1999.t01-1-00005.x</v>
      </c>
      <c r="BG729" t="s">
        <v>74</v>
      </c>
      <c r="BH729" t="s">
        <v>74</v>
      </c>
      <c r="BI729">
        <v>24</v>
      </c>
      <c r="BJ729" t="s">
        <v>95</v>
      </c>
      <c r="BK729" t="s">
        <v>156</v>
      </c>
      <c r="BL729" t="s">
        <v>95</v>
      </c>
      <c r="BM729" t="s">
        <v>9494</v>
      </c>
      <c r="BN729" t="s">
        <v>74</v>
      </c>
      <c r="BO729" t="s">
        <v>74</v>
      </c>
      <c r="BP729" t="s">
        <v>74</v>
      </c>
      <c r="BQ729" t="s">
        <v>74</v>
      </c>
      <c r="BR729" t="s">
        <v>99</v>
      </c>
      <c r="BS729" t="s">
        <v>9509</v>
      </c>
      <c r="BT729" t="str">
        <f>HYPERLINK("https%3A%2F%2Fwww.webofscience.com%2Fwos%2Fwoscc%2Ffull-record%2FWOS:000081143400005","View Full Record in Web of Science")</f>
        <v>View Full Record in Web of Science</v>
      </c>
    </row>
    <row r="730" spans="1:72" x14ac:dyDescent="0.15">
      <c r="A730" t="s">
        <v>72</v>
      </c>
      <c r="B730" t="s">
        <v>9510</v>
      </c>
      <c r="C730" t="s">
        <v>74</v>
      </c>
      <c r="D730" t="s">
        <v>74</v>
      </c>
      <c r="E730" t="s">
        <v>74</v>
      </c>
      <c r="F730" t="s">
        <v>9510</v>
      </c>
      <c r="G730" t="s">
        <v>74</v>
      </c>
      <c r="H730" t="s">
        <v>74</v>
      </c>
      <c r="I730" t="s">
        <v>9511</v>
      </c>
      <c r="J730" t="s">
        <v>1693</v>
      </c>
      <c r="K730" t="s">
        <v>74</v>
      </c>
      <c r="L730" t="s">
        <v>74</v>
      </c>
      <c r="M730" t="s">
        <v>77</v>
      </c>
      <c r="N730" t="s">
        <v>78</v>
      </c>
      <c r="O730" t="s">
        <v>74</v>
      </c>
      <c r="P730" t="s">
        <v>74</v>
      </c>
      <c r="Q730" t="s">
        <v>74</v>
      </c>
      <c r="R730" t="s">
        <v>74</v>
      </c>
      <c r="S730" t="s">
        <v>74</v>
      </c>
      <c r="T730" t="s">
        <v>9512</v>
      </c>
      <c r="U730" t="s">
        <v>9513</v>
      </c>
      <c r="V730" t="s">
        <v>9514</v>
      </c>
      <c r="W730" t="s">
        <v>1697</v>
      </c>
      <c r="X730" t="s">
        <v>1222</v>
      </c>
      <c r="Y730" t="s">
        <v>9515</v>
      </c>
      <c r="Z730" t="s">
        <v>74</v>
      </c>
      <c r="AA730" t="s">
        <v>74</v>
      </c>
      <c r="AB730" t="s">
        <v>74</v>
      </c>
      <c r="AC730" t="s">
        <v>74</v>
      </c>
      <c r="AD730" t="s">
        <v>74</v>
      </c>
      <c r="AE730" t="s">
        <v>74</v>
      </c>
      <c r="AF730" t="s">
        <v>74</v>
      </c>
      <c r="AG730">
        <v>49</v>
      </c>
      <c r="AH730">
        <v>57</v>
      </c>
      <c r="AI730">
        <v>63</v>
      </c>
      <c r="AJ730">
        <v>0</v>
      </c>
      <c r="AK730">
        <v>10</v>
      </c>
      <c r="AL730" t="s">
        <v>210</v>
      </c>
      <c r="AM730" t="s">
        <v>211</v>
      </c>
      <c r="AN730" t="s">
        <v>212</v>
      </c>
      <c r="AO730" t="s">
        <v>1699</v>
      </c>
      <c r="AP730" t="s">
        <v>74</v>
      </c>
      <c r="AQ730" t="s">
        <v>74</v>
      </c>
      <c r="AR730" t="s">
        <v>1700</v>
      </c>
      <c r="AS730" t="s">
        <v>1701</v>
      </c>
      <c r="AT730" t="s">
        <v>9516</v>
      </c>
      <c r="AU730">
        <v>1999</v>
      </c>
      <c r="AV730">
        <v>236</v>
      </c>
      <c r="AW730">
        <v>1</v>
      </c>
      <c r="AX730" t="s">
        <v>74</v>
      </c>
      <c r="AY730" t="s">
        <v>74</v>
      </c>
      <c r="AZ730" t="s">
        <v>74</v>
      </c>
      <c r="BA730" t="s">
        <v>74</v>
      </c>
      <c r="BB730">
        <v>133</v>
      </c>
      <c r="BC730">
        <v>148</v>
      </c>
      <c r="BD730" t="s">
        <v>74</v>
      </c>
      <c r="BE730" t="s">
        <v>9517</v>
      </c>
      <c r="BF730" t="str">
        <f>HYPERLINK("http://dx.doi.org/10.1016/S0022-0981(98)00199-3","http://dx.doi.org/10.1016/S0022-0981(98)00199-3")</f>
        <v>http://dx.doi.org/10.1016/S0022-0981(98)00199-3</v>
      </c>
      <c r="BG730" t="s">
        <v>74</v>
      </c>
      <c r="BH730" t="s">
        <v>74</v>
      </c>
      <c r="BI730">
        <v>16</v>
      </c>
      <c r="BJ730" t="s">
        <v>1703</v>
      </c>
      <c r="BK730" t="s">
        <v>96</v>
      </c>
      <c r="BL730" t="s">
        <v>1704</v>
      </c>
      <c r="BM730" t="s">
        <v>9518</v>
      </c>
      <c r="BN730" t="s">
        <v>74</v>
      </c>
      <c r="BO730" t="s">
        <v>74</v>
      </c>
      <c r="BP730" t="s">
        <v>74</v>
      </c>
      <c r="BQ730" t="s">
        <v>74</v>
      </c>
      <c r="BR730" t="s">
        <v>99</v>
      </c>
      <c r="BS730" t="s">
        <v>9519</v>
      </c>
      <c r="BT730" t="str">
        <f>HYPERLINK("https%3A%2F%2Fwww.webofscience.com%2Fwos%2Fwoscc%2Ffull-record%2FWOS:000079336100008","View Full Record in Web of Science")</f>
        <v>View Full Record in Web of Science</v>
      </c>
    </row>
    <row r="731" spans="1:72" x14ac:dyDescent="0.15">
      <c r="A731" t="s">
        <v>72</v>
      </c>
      <c r="B731" t="s">
        <v>9520</v>
      </c>
      <c r="C731" t="s">
        <v>74</v>
      </c>
      <c r="D731" t="s">
        <v>74</v>
      </c>
      <c r="E731" t="s">
        <v>74</v>
      </c>
      <c r="F731" t="s">
        <v>9520</v>
      </c>
      <c r="G731" t="s">
        <v>74</v>
      </c>
      <c r="H731" t="s">
        <v>74</v>
      </c>
      <c r="I731" t="s">
        <v>9521</v>
      </c>
      <c r="J731" t="s">
        <v>221</v>
      </c>
      <c r="K731" t="s">
        <v>74</v>
      </c>
      <c r="L731" t="s">
        <v>74</v>
      </c>
      <c r="M731" t="s">
        <v>77</v>
      </c>
      <c r="N731" t="s">
        <v>78</v>
      </c>
      <c r="O731" t="s">
        <v>74</v>
      </c>
      <c r="P731" t="s">
        <v>74</v>
      </c>
      <c r="Q731" t="s">
        <v>74</v>
      </c>
      <c r="R731" t="s">
        <v>74</v>
      </c>
      <c r="S731" t="s">
        <v>74</v>
      </c>
      <c r="T731" t="s">
        <v>74</v>
      </c>
      <c r="U731" t="s">
        <v>9522</v>
      </c>
      <c r="V731" t="s">
        <v>9523</v>
      </c>
      <c r="W731" t="s">
        <v>9524</v>
      </c>
      <c r="X731" t="s">
        <v>9525</v>
      </c>
      <c r="Y731" t="s">
        <v>9526</v>
      </c>
      <c r="Z731" t="s">
        <v>9527</v>
      </c>
      <c r="AA731" t="s">
        <v>9528</v>
      </c>
      <c r="AB731" t="s">
        <v>9529</v>
      </c>
      <c r="AC731" t="s">
        <v>74</v>
      </c>
      <c r="AD731" t="s">
        <v>74</v>
      </c>
      <c r="AE731" t="s">
        <v>74</v>
      </c>
      <c r="AF731" t="s">
        <v>74</v>
      </c>
      <c r="AG731">
        <v>40</v>
      </c>
      <c r="AH731">
        <v>22</v>
      </c>
      <c r="AI731">
        <v>28</v>
      </c>
      <c r="AJ731">
        <v>0</v>
      </c>
      <c r="AK731">
        <v>8</v>
      </c>
      <c r="AL731" t="s">
        <v>230</v>
      </c>
      <c r="AM731" t="s">
        <v>231</v>
      </c>
      <c r="AN731" t="s">
        <v>232</v>
      </c>
      <c r="AO731" t="s">
        <v>233</v>
      </c>
      <c r="AP731" t="s">
        <v>317</v>
      </c>
      <c r="AQ731" t="s">
        <v>74</v>
      </c>
      <c r="AR731" t="s">
        <v>234</v>
      </c>
      <c r="AS731" t="s">
        <v>235</v>
      </c>
      <c r="AT731" t="s">
        <v>9530</v>
      </c>
      <c r="AU731">
        <v>1999</v>
      </c>
      <c r="AV731">
        <v>104</v>
      </c>
      <c r="AW731" t="s">
        <v>9531</v>
      </c>
      <c r="AX731" t="s">
        <v>74</v>
      </c>
      <c r="AY731" t="s">
        <v>74</v>
      </c>
      <c r="AZ731" t="s">
        <v>74</v>
      </c>
      <c r="BA731" t="s">
        <v>74</v>
      </c>
      <c r="BB731">
        <v>5985</v>
      </c>
      <c r="BC731">
        <v>6001</v>
      </c>
      <c r="BD731" t="s">
        <v>74</v>
      </c>
      <c r="BE731" t="s">
        <v>9532</v>
      </c>
      <c r="BF731" t="str">
        <f>HYPERLINK("http://dx.doi.org/10.1029/1998JD200056","http://dx.doi.org/10.1029/1998JD200056")</f>
        <v>http://dx.doi.org/10.1029/1998JD200056</v>
      </c>
      <c r="BG731" t="s">
        <v>74</v>
      </c>
      <c r="BH731" t="s">
        <v>74</v>
      </c>
      <c r="BI731">
        <v>17</v>
      </c>
      <c r="BJ731" t="s">
        <v>95</v>
      </c>
      <c r="BK731" t="s">
        <v>96</v>
      </c>
      <c r="BL731" t="s">
        <v>95</v>
      </c>
      <c r="BM731" t="s">
        <v>9533</v>
      </c>
      <c r="BN731" t="s">
        <v>74</v>
      </c>
      <c r="BO731" t="s">
        <v>2755</v>
      </c>
      <c r="BP731" t="s">
        <v>74</v>
      </c>
      <c r="BQ731" t="s">
        <v>74</v>
      </c>
      <c r="BR731" t="s">
        <v>99</v>
      </c>
      <c r="BS731" t="s">
        <v>9534</v>
      </c>
      <c r="BT731" t="str">
        <f>HYPERLINK("https%3A%2F%2Fwww.webofscience.com%2Fwos%2Fwoscc%2Ffull-record%2FWOS:000079363700002","View Full Record in Web of Science")</f>
        <v>View Full Record in Web of Science</v>
      </c>
    </row>
    <row r="732" spans="1:72" x14ac:dyDescent="0.15">
      <c r="A732" t="s">
        <v>72</v>
      </c>
      <c r="B732" t="s">
        <v>9535</v>
      </c>
      <c r="C732" t="s">
        <v>74</v>
      </c>
      <c r="D732" t="s">
        <v>74</v>
      </c>
      <c r="E732" t="s">
        <v>74</v>
      </c>
      <c r="F732" t="s">
        <v>9535</v>
      </c>
      <c r="G732" t="s">
        <v>74</v>
      </c>
      <c r="H732" t="s">
        <v>74</v>
      </c>
      <c r="I732" t="s">
        <v>9536</v>
      </c>
      <c r="J732" t="s">
        <v>2692</v>
      </c>
      <c r="K732" t="s">
        <v>74</v>
      </c>
      <c r="L732" t="s">
        <v>74</v>
      </c>
      <c r="M732" t="s">
        <v>77</v>
      </c>
      <c r="N732" t="s">
        <v>78</v>
      </c>
      <c r="O732" t="s">
        <v>74</v>
      </c>
      <c r="P732" t="s">
        <v>74</v>
      </c>
      <c r="Q732" t="s">
        <v>74</v>
      </c>
      <c r="R732" t="s">
        <v>74</v>
      </c>
      <c r="S732" t="s">
        <v>74</v>
      </c>
      <c r="T732" t="s">
        <v>74</v>
      </c>
      <c r="U732" t="s">
        <v>9537</v>
      </c>
      <c r="V732" t="s">
        <v>9538</v>
      </c>
      <c r="W732" t="s">
        <v>9539</v>
      </c>
      <c r="X732" t="s">
        <v>9540</v>
      </c>
      <c r="Y732" t="s">
        <v>2290</v>
      </c>
      <c r="Z732" t="s">
        <v>9074</v>
      </c>
      <c r="AA732" t="s">
        <v>9541</v>
      </c>
      <c r="AB732" t="s">
        <v>9542</v>
      </c>
      <c r="AC732" t="s">
        <v>74</v>
      </c>
      <c r="AD732" t="s">
        <v>74</v>
      </c>
      <c r="AE732" t="s">
        <v>74</v>
      </c>
      <c r="AF732" t="s">
        <v>74</v>
      </c>
      <c r="AG732">
        <v>27</v>
      </c>
      <c r="AH732">
        <v>111</v>
      </c>
      <c r="AI732">
        <v>126</v>
      </c>
      <c r="AJ732">
        <v>0</v>
      </c>
      <c r="AK732">
        <v>14</v>
      </c>
      <c r="AL732" t="s">
        <v>7449</v>
      </c>
      <c r="AM732" t="s">
        <v>531</v>
      </c>
      <c r="AN732" t="s">
        <v>7450</v>
      </c>
      <c r="AO732" t="s">
        <v>2695</v>
      </c>
      <c r="AP732" t="s">
        <v>4951</v>
      </c>
      <c r="AQ732" t="s">
        <v>74</v>
      </c>
      <c r="AR732" t="s">
        <v>2692</v>
      </c>
      <c r="AS732" t="s">
        <v>2696</v>
      </c>
      <c r="AT732" t="s">
        <v>9543</v>
      </c>
      <c r="AU732">
        <v>1999</v>
      </c>
      <c r="AV732">
        <v>398</v>
      </c>
      <c r="AW732">
        <v>6725</v>
      </c>
      <c r="AX732" t="s">
        <v>74</v>
      </c>
      <c r="AY732" t="s">
        <v>74</v>
      </c>
      <c r="AZ732" t="s">
        <v>74</v>
      </c>
      <c r="BA732" t="s">
        <v>74</v>
      </c>
      <c r="BB732">
        <v>323</v>
      </c>
      <c r="BC732">
        <v>326</v>
      </c>
      <c r="BD732" t="s">
        <v>74</v>
      </c>
      <c r="BE732" t="s">
        <v>9544</v>
      </c>
      <c r="BF732" t="str">
        <f>HYPERLINK("http://dx.doi.org/10.1038/18653","http://dx.doi.org/10.1038/18653")</f>
        <v>http://dx.doi.org/10.1038/18653</v>
      </c>
      <c r="BG732" t="s">
        <v>74</v>
      </c>
      <c r="BH732" t="s">
        <v>74</v>
      </c>
      <c r="BI732">
        <v>4</v>
      </c>
      <c r="BJ732" t="s">
        <v>303</v>
      </c>
      <c r="BK732" t="s">
        <v>96</v>
      </c>
      <c r="BL732" t="s">
        <v>304</v>
      </c>
      <c r="BM732" t="s">
        <v>9545</v>
      </c>
      <c r="BN732" t="s">
        <v>74</v>
      </c>
      <c r="BO732" t="s">
        <v>74</v>
      </c>
      <c r="BP732" t="s">
        <v>74</v>
      </c>
      <c r="BQ732" t="s">
        <v>74</v>
      </c>
      <c r="BR732" t="s">
        <v>99</v>
      </c>
      <c r="BS732" t="s">
        <v>9546</v>
      </c>
      <c r="BT732" t="str">
        <f>HYPERLINK("https%3A%2F%2Fwww.webofscience.com%2Fwos%2Fwoscc%2Ffull-record%2FWOS:000079369600048","View Full Record in Web of Science")</f>
        <v>View Full Record in Web of Science</v>
      </c>
    </row>
    <row r="733" spans="1:72" x14ac:dyDescent="0.15">
      <c r="A733" t="s">
        <v>72</v>
      </c>
      <c r="B733" t="s">
        <v>9547</v>
      </c>
      <c r="C733" t="s">
        <v>74</v>
      </c>
      <c r="D733" t="s">
        <v>74</v>
      </c>
      <c r="E733" t="s">
        <v>74</v>
      </c>
      <c r="F733" t="s">
        <v>9547</v>
      </c>
      <c r="G733" t="s">
        <v>74</v>
      </c>
      <c r="H733" t="s">
        <v>74</v>
      </c>
      <c r="I733" t="s">
        <v>9548</v>
      </c>
      <c r="J733" t="s">
        <v>9549</v>
      </c>
      <c r="K733" t="s">
        <v>74</v>
      </c>
      <c r="L733" t="s">
        <v>74</v>
      </c>
      <c r="M733" t="s">
        <v>77</v>
      </c>
      <c r="N733" t="s">
        <v>52</v>
      </c>
      <c r="O733" t="s">
        <v>74</v>
      </c>
      <c r="P733" t="s">
        <v>74</v>
      </c>
      <c r="Q733" t="s">
        <v>74</v>
      </c>
      <c r="R733" t="s">
        <v>74</v>
      </c>
      <c r="S733" t="s">
        <v>74</v>
      </c>
      <c r="T733" t="s">
        <v>74</v>
      </c>
      <c r="U733" t="s">
        <v>74</v>
      </c>
      <c r="V733" t="s">
        <v>74</v>
      </c>
      <c r="W733" t="s">
        <v>9550</v>
      </c>
      <c r="X733" t="s">
        <v>9551</v>
      </c>
      <c r="Y733" t="s">
        <v>74</v>
      </c>
      <c r="Z733" t="s">
        <v>74</v>
      </c>
      <c r="AA733" t="s">
        <v>74</v>
      </c>
      <c r="AB733" t="s">
        <v>74</v>
      </c>
      <c r="AC733" t="s">
        <v>74</v>
      </c>
      <c r="AD733" t="s">
        <v>74</v>
      </c>
      <c r="AE733" t="s">
        <v>74</v>
      </c>
      <c r="AF733" t="s">
        <v>74</v>
      </c>
      <c r="AG733">
        <v>0</v>
      </c>
      <c r="AH733">
        <v>0</v>
      </c>
      <c r="AI733">
        <v>0</v>
      </c>
      <c r="AJ733">
        <v>0</v>
      </c>
      <c r="AK733">
        <v>1</v>
      </c>
      <c r="AL733" t="s">
        <v>365</v>
      </c>
      <c r="AM733" t="s">
        <v>231</v>
      </c>
      <c r="AN733" t="s">
        <v>366</v>
      </c>
      <c r="AO733" t="s">
        <v>9552</v>
      </c>
      <c r="AP733" t="s">
        <v>74</v>
      </c>
      <c r="AQ733" t="s">
        <v>74</v>
      </c>
      <c r="AR733" t="s">
        <v>9553</v>
      </c>
      <c r="AS733" t="s">
        <v>9554</v>
      </c>
      <c r="AT733" t="s">
        <v>9555</v>
      </c>
      <c r="AU733">
        <v>1999</v>
      </c>
      <c r="AV733">
        <v>217</v>
      </c>
      <c r="AW733" t="s">
        <v>74</v>
      </c>
      <c r="AX733">
        <v>1</v>
      </c>
      <c r="AY733" t="s">
        <v>74</v>
      </c>
      <c r="AZ733" t="s">
        <v>74</v>
      </c>
      <c r="BA733" t="s">
        <v>9556</v>
      </c>
      <c r="BB733" t="s">
        <v>9557</v>
      </c>
      <c r="BC733" t="s">
        <v>9557</v>
      </c>
      <c r="BD733" t="s">
        <v>74</v>
      </c>
      <c r="BE733" t="s">
        <v>74</v>
      </c>
      <c r="BF733" t="s">
        <v>74</v>
      </c>
      <c r="BG733" t="s">
        <v>74</v>
      </c>
      <c r="BH733" t="s">
        <v>74</v>
      </c>
      <c r="BI733">
        <v>1</v>
      </c>
      <c r="BJ733" t="s">
        <v>2973</v>
      </c>
      <c r="BK733" t="s">
        <v>96</v>
      </c>
      <c r="BL733" t="s">
        <v>285</v>
      </c>
      <c r="BM733" t="s">
        <v>9558</v>
      </c>
      <c r="BN733" t="s">
        <v>74</v>
      </c>
      <c r="BO733" t="s">
        <v>74</v>
      </c>
      <c r="BP733" t="s">
        <v>74</v>
      </c>
      <c r="BQ733" t="s">
        <v>74</v>
      </c>
      <c r="BR733" t="s">
        <v>99</v>
      </c>
      <c r="BS733" t="s">
        <v>9559</v>
      </c>
      <c r="BT733" t="str">
        <f>HYPERLINK("https%3A%2F%2Fwww.webofscience.com%2Fwos%2Fwoscc%2Ffull-record%2FWOS:000079148102216","View Full Record in Web of Science")</f>
        <v>View Full Record in Web of Science</v>
      </c>
    </row>
    <row r="734" spans="1:72" x14ac:dyDescent="0.15">
      <c r="A734" t="s">
        <v>72</v>
      </c>
      <c r="B734" t="s">
        <v>9560</v>
      </c>
      <c r="C734" t="s">
        <v>74</v>
      </c>
      <c r="D734" t="s">
        <v>74</v>
      </c>
      <c r="E734" t="s">
        <v>74</v>
      </c>
      <c r="F734" t="s">
        <v>9560</v>
      </c>
      <c r="G734" t="s">
        <v>74</v>
      </c>
      <c r="H734" t="s">
        <v>74</v>
      </c>
      <c r="I734" t="s">
        <v>9561</v>
      </c>
      <c r="J734" t="s">
        <v>9562</v>
      </c>
      <c r="K734" t="s">
        <v>74</v>
      </c>
      <c r="L734" t="s">
        <v>74</v>
      </c>
      <c r="M734" t="s">
        <v>77</v>
      </c>
      <c r="N734" t="s">
        <v>52</v>
      </c>
      <c r="O734" t="s">
        <v>74</v>
      </c>
      <c r="P734" t="s">
        <v>74</v>
      </c>
      <c r="Q734" t="s">
        <v>74</v>
      </c>
      <c r="R734" t="s">
        <v>74</v>
      </c>
      <c r="S734" t="s">
        <v>74</v>
      </c>
      <c r="T734" t="s">
        <v>74</v>
      </c>
      <c r="U734" t="s">
        <v>74</v>
      </c>
      <c r="V734" t="s">
        <v>74</v>
      </c>
      <c r="W734" t="s">
        <v>9563</v>
      </c>
      <c r="X734" t="s">
        <v>9564</v>
      </c>
      <c r="Y734" t="s">
        <v>74</v>
      </c>
      <c r="Z734" t="s">
        <v>74</v>
      </c>
      <c r="AA734" t="s">
        <v>74</v>
      </c>
      <c r="AB734" t="s">
        <v>74</v>
      </c>
      <c r="AC734" t="s">
        <v>74</v>
      </c>
      <c r="AD734" t="s">
        <v>74</v>
      </c>
      <c r="AE734" t="s">
        <v>74</v>
      </c>
      <c r="AF734" t="s">
        <v>74</v>
      </c>
      <c r="AG734">
        <v>0</v>
      </c>
      <c r="AH734">
        <v>0</v>
      </c>
      <c r="AI734">
        <v>0</v>
      </c>
      <c r="AJ734">
        <v>0</v>
      </c>
      <c r="AK734">
        <v>0</v>
      </c>
      <c r="AL734" t="s">
        <v>9565</v>
      </c>
      <c r="AM734" t="s">
        <v>1290</v>
      </c>
      <c r="AN734" t="s">
        <v>9566</v>
      </c>
      <c r="AO734" t="s">
        <v>9567</v>
      </c>
      <c r="AP734" t="s">
        <v>74</v>
      </c>
      <c r="AQ734" t="s">
        <v>74</v>
      </c>
      <c r="AR734" t="s">
        <v>9568</v>
      </c>
      <c r="AS734" t="s">
        <v>9569</v>
      </c>
      <c r="AT734" t="s">
        <v>9570</v>
      </c>
      <c r="AU734">
        <v>1999</v>
      </c>
      <c r="AV734">
        <v>13</v>
      </c>
      <c r="AW734">
        <v>5</v>
      </c>
      <c r="AX734">
        <v>2</v>
      </c>
      <c r="AY734" t="s">
        <v>1295</v>
      </c>
      <c r="AZ734" t="s">
        <v>74</v>
      </c>
      <c r="BA734" t="s">
        <v>74</v>
      </c>
      <c r="BB734" t="s">
        <v>9571</v>
      </c>
      <c r="BC734" t="s">
        <v>9571</v>
      </c>
      <c r="BD734" t="s">
        <v>74</v>
      </c>
      <c r="BE734" t="s">
        <v>74</v>
      </c>
      <c r="BF734" t="s">
        <v>74</v>
      </c>
      <c r="BG734" t="s">
        <v>74</v>
      </c>
      <c r="BH734" t="s">
        <v>74</v>
      </c>
      <c r="BI734">
        <v>1</v>
      </c>
      <c r="BJ734" t="s">
        <v>9572</v>
      </c>
      <c r="BK734" t="s">
        <v>96</v>
      </c>
      <c r="BL734" t="s">
        <v>9573</v>
      </c>
      <c r="BM734" t="s">
        <v>9574</v>
      </c>
      <c r="BN734" t="s">
        <v>74</v>
      </c>
      <c r="BO734" t="s">
        <v>74</v>
      </c>
      <c r="BP734" t="s">
        <v>74</v>
      </c>
      <c r="BQ734" t="s">
        <v>74</v>
      </c>
      <c r="BR734" t="s">
        <v>99</v>
      </c>
      <c r="BS734" t="s">
        <v>9575</v>
      </c>
      <c r="BT734" t="str">
        <f>HYPERLINK("https%3A%2F%2Fwww.webofscience.com%2Fwos%2Fwoscc%2Ffull-record%2FWOS:000082132900382","View Full Record in Web of Science")</f>
        <v>View Full Record in Web of Science</v>
      </c>
    </row>
    <row r="735" spans="1:72" x14ac:dyDescent="0.15">
      <c r="A735" t="s">
        <v>72</v>
      </c>
      <c r="B735" t="s">
        <v>9576</v>
      </c>
      <c r="C735" t="s">
        <v>74</v>
      </c>
      <c r="D735" t="s">
        <v>74</v>
      </c>
      <c r="E735" t="s">
        <v>74</v>
      </c>
      <c r="F735" t="s">
        <v>9576</v>
      </c>
      <c r="G735" t="s">
        <v>74</v>
      </c>
      <c r="H735" t="s">
        <v>74</v>
      </c>
      <c r="I735" t="s">
        <v>9577</v>
      </c>
      <c r="J735" t="s">
        <v>9562</v>
      </c>
      <c r="K735" t="s">
        <v>74</v>
      </c>
      <c r="L735" t="s">
        <v>74</v>
      </c>
      <c r="M735" t="s">
        <v>77</v>
      </c>
      <c r="N735" t="s">
        <v>52</v>
      </c>
      <c r="O735" t="s">
        <v>74</v>
      </c>
      <c r="P735" t="s">
        <v>74</v>
      </c>
      <c r="Q735" t="s">
        <v>74</v>
      </c>
      <c r="R735" t="s">
        <v>74</v>
      </c>
      <c r="S735" t="s">
        <v>74</v>
      </c>
      <c r="T735" t="s">
        <v>74</v>
      </c>
      <c r="U735" t="s">
        <v>74</v>
      </c>
      <c r="V735" t="s">
        <v>74</v>
      </c>
      <c r="W735" t="s">
        <v>9578</v>
      </c>
      <c r="X735" t="s">
        <v>9564</v>
      </c>
      <c r="Y735" t="s">
        <v>74</v>
      </c>
      <c r="Z735" t="s">
        <v>74</v>
      </c>
      <c r="AA735" t="s">
        <v>74</v>
      </c>
      <c r="AB735" t="s">
        <v>74</v>
      </c>
      <c r="AC735" t="s">
        <v>74</v>
      </c>
      <c r="AD735" t="s">
        <v>74</v>
      </c>
      <c r="AE735" t="s">
        <v>74</v>
      </c>
      <c r="AF735" t="s">
        <v>74</v>
      </c>
      <c r="AG735">
        <v>0</v>
      </c>
      <c r="AH735">
        <v>0</v>
      </c>
      <c r="AI735">
        <v>0</v>
      </c>
      <c r="AJ735">
        <v>1</v>
      </c>
      <c r="AK735">
        <v>1</v>
      </c>
      <c r="AL735" t="s">
        <v>9565</v>
      </c>
      <c r="AM735" t="s">
        <v>1290</v>
      </c>
      <c r="AN735" t="s">
        <v>9566</v>
      </c>
      <c r="AO735" t="s">
        <v>9567</v>
      </c>
      <c r="AP735" t="s">
        <v>74</v>
      </c>
      <c r="AQ735" t="s">
        <v>74</v>
      </c>
      <c r="AR735" t="s">
        <v>9568</v>
      </c>
      <c r="AS735" t="s">
        <v>9569</v>
      </c>
      <c r="AT735" t="s">
        <v>9570</v>
      </c>
      <c r="AU735">
        <v>1999</v>
      </c>
      <c r="AV735">
        <v>13</v>
      </c>
      <c r="AW735">
        <v>5</v>
      </c>
      <c r="AX735">
        <v>2</v>
      </c>
      <c r="AY735" t="s">
        <v>1295</v>
      </c>
      <c r="AZ735" t="s">
        <v>74</v>
      </c>
      <c r="BA735" t="s">
        <v>74</v>
      </c>
      <c r="BB735" t="s">
        <v>9579</v>
      </c>
      <c r="BC735" t="s">
        <v>9579</v>
      </c>
      <c r="BD735" t="s">
        <v>74</v>
      </c>
      <c r="BE735" t="s">
        <v>74</v>
      </c>
      <c r="BF735" t="s">
        <v>74</v>
      </c>
      <c r="BG735" t="s">
        <v>74</v>
      </c>
      <c r="BH735" t="s">
        <v>74</v>
      </c>
      <c r="BI735">
        <v>1</v>
      </c>
      <c r="BJ735" t="s">
        <v>9572</v>
      </c>
      <c r="BK735" t="s">
        <v>96</v>
      </c>
      <c r="BL735" t="s">
        <v>9573</v>
      </c>
      <c r="BM735" t="s">
        <v>9574</v>
      </c>
      <c r="BN735" t="s">
        <v>74</v>
      </c>
      <c r="BO735" t="s">
        <v>74</v>
      </c>
      <c r="BP735" t="s">
        <v>74</v>
      </c>
      <c r="BQ735" t="s">
        <v>74</v>
      </c>
      <c r="BR735" t="s">
        <v>99</v>
      </c>
      <c r="BS735" t="s">
        <v>9580</v>
      </c>
      <c r="BT735" t="str">
        <f>HYPERLINK("https%3A%2F%2Fwww.webofscience.com%2Fwos%2Fwoscc%2Ffull-record%2FWOS:000082132900386","View Full Record in Web of Science")</f>
        <v>View Full Record in Web of Science</v>
      </c>
    </row>
    <row r="736" spans="1:72" x14ac:dyDescent="0.15">
      <c r="A736" t="s">
        <v>72</v>
      </c>
      <c r="B736" t="s">
        <v>9581</v>
      </c>
      <c r="C736" t="s">
        <v>74</v>
      </c>
      <c r="D736" t="s">
        <v>74</v>
      </c>
      <c r="E736" t="s">
        <v>74</v>
      </c>
      <c r="F736" t="s">
        <v>9581</v>
      </c>
      <c r="G736" t="s">
        <v>74</v>
      </c>
      <c r="H736" t="s">
        <v>74</v>
      </c>
      <c r="I736" t="s">
        <v>9582</v>
      </c>
      <c r="J736" t="s">
        <v>378</v>
      </c>
      <c r="K736" t="s">
        <v>74</v>
      </c>
      <c r="L736" t="s">
        <v>74</v>
      </c>
      <c r="M736" t="s">
        <v>77</v>
      </c>
      <c r="N736" t="s">
        <v>78</v>
      </c>
      <c r="O736" t="s">
        <v>74</v>
      </c>
      <c r="P736" t="s">
        <v>74</v>
      </c>
      <c r="Q736" t="s">
        <v>74</v>
      </c>
      <c r="R736" t="s">
        <v>74</v>
      </c>
      <c r="S736" t="s">
        <v>74</v>
      </c>
      <c r="T736" t="s">
        <v>74</v>
      </c>
      <c r="U736" t="s">
        <v>9583</v>
      </c>
      <c r="V736" t="s">
        <v>9584</v>
      </c>
      <c r="W736" t="s">
        <v>9585</v>
      </c>
      <c r="X736" t="s">
        <v>8068</v>
      </c>
      <c r="Y736" t="s">
        <v>9586</v>
      </c>
      <c r="Z736" t="s">
        <v>74</v>
      </c>
      <c r="AA736" t="s">
        <v>8071</v>
      </c>
      <c r="AB736" t="s">
        <v>74</v>
      </c>
      <c r="AC736" t="s">
        <v>74</v>
      </c>
      <c r="AD736" t="s">
        <v>74</v>
      </c>
      <c r="AE736" t="s">
        <v>74</v>
      </c>
      <c r="AF736" t="s">
        <v>74</v>
      </c>
      <c r="AG736">
        <v>19</v>
      </c>
      <c r="AH736">
        <v>8</v>
      </c>
      <c r="AI736">
        <v>8</v>
      </c>
      <c r="AJ736">
        <v>0</v>
      </c>
      <c r="AK736">
        <v>1</v>
      </c>
      <c r="AL736" t="s">
        <v>230</v>
      </c>
      <c r="AM736" t="s">
        <v>231</v>
      </c>
      <c r="AN736" t="s">
        <v>232</v>
      </c>
      <c r="AO736" t="s">
        <v>382</v>
      </c>
      <c r="AP736" t="s">
        <v>74</v>
      </c>
      <c r="AQ736" t="s">
        <v>74</v>
      </c>
      <c r="AR736" t="s">
        <v>383</v>
      </c>
      <c r="AS736" t="s">
        <v>384</v>
      </c>
      <c r="AT736" t="s">
        <v>9570</v>
      </c>
      <c r="AU736">
        <v>1999</v>
      </c>
      <c r="AV736">
        <v>26</v>
      </c>
      <c r="AW736">
        <v>6</v>
      </c>
      <c r="AX736" t="s">
        <v>74</v>
      </c>
      <c r="AY736" t="s">
        <v>74</v>
      </c>
      <c r="AZ736" t="s">
        <v>74</v>
      </c>
      <c r="BA736" t="s">
        <v>74</v>
      </c>
      <c r="BB736">
        <v>643</v>
      </c>
      <c r="BC736">
        <v>646</v>
      </c>
      <c r="BD736" t="s">
        <v>74</v>
      </c>
      <c r="BE736" t="s">
        <v>9587</v>
      </c>
      <c r="BF736" t="str">
        <f>HYPERLINK("http://dx.doi.org/10.1029/1999GL900079","http://dx.doi.org/10.1029/1999GL900079")</f>
        <v>http://dx.doi.org/10.1029/1999GL900079</v>
      </c>
      <c r="BG736" t="s">
        <v>74</v>
      </c>
      <c r="BH736" t="s">
        <v>74</v>
      </c>
      <c r="BI736">
        <v>4</v>
      </c>
      <c r="BJ736" t="s">
        <v>387</v>
      </c>
      <c r="BK736" t="s">
        <v>96</v>
      </c>
      <c r="BL736" t="s">
        <v>388</v>
      </c>
      <c r="BM736" t="s">
        <v>9588</v>
      </c>
      <c r="BN736" t="s">
        <v>74</v>
      </c>
      <c r="BO736" t="s">
        <v>250</v>
      </c>
      <c r="BP736" t="s">
        <v>74</v>
      </c>
      <c r="BQ736" t="s">
        <v>74</v>
      </c>
      <c r="BR736" t="s">
        <v>99</v>
      </c>
      <c r="BS736" t="s">
        <v>9589</v>
      </c>
      <c r="BT736" t="str">
        <f>HYPERLINK("https%3A%2F%2Fwww.webofscience.com%2Fwos%2Fwoscc%2Ffull-record%2FWOS:000079207400005","View Full Record in Web of Science")</f>
        <v>View Full Record in Web of Science</v>
      </c>
    </row>
    <row r="737" spans="1:72" x14ac:dyDescent="0.15">
      <c r="A737" t="s">
        <v>72</v>
      </c>
      <c r="B737" t="s">
        <v>9590</v>
      </c>
      <c r="C737" t="s">
        <v>74</v>
      </c>
      <c r="D737" t="s">
        <v>74</v>
      </c>
      <c r="E737" t="s">
        <v>74</v>
      </c>
      <c r="F737" t="s">
        <v>9590</v>
      </c>
      <c r="G737" t="s">
        <v>74</v>
      </c>
      <c r="H737" t="s">
        <v>74</v>
      </c>
      <c r="I737" t="s">
        <v>9591</v>
      </c>
      <c r="J737" t="s">
        <v>403</v>
      </c>
      <c r="K737" t="s">
        <v>74</v>
      </c>
      <c r="L737" t="s">
        <v>74</v>
      </c>
      <c r="M737" t="s">
        <v>77</v>
      </c>
      <c r="N737" t="s">
        <v>78</v>
      </c>
      <c r="O737" t="s">
        <v>74</v>
      </c>
      <c r="P737" t="s">
        <v>74</v>
      </c>
      <c r="Q737" t="s">
        <v>74</v>
      </c>
      <c r="R737" t="s">
        <v>74</v>
      </c>
      <c r="S737" t="s">
        <v>74</v>
      </c>
      <c r="T737" t="s">
        <v>74</v>
      </c>
      <c r="U737" t="s">
        <v>9592</v>
      </c>
      <c r="V737" t="s">
        <v>9593</v>
      </c>
      <c r="W737" t="s">
        <v>9594</v>
      </c>
      <c r="X737" t="s">
        <v>9595</v>
      </c>
      <c r="Y737" t="s">
        <v>9596</v>
      </c>
      <c r="Z737" t="s">
        <v>9597</v>
      </c>
      <c r="AA737" t="s">
        <v>74</v>
      </c>
      <c r="AB737" t="s">
        <v>9598</v>
      </c>
      <c r="AC737" t="s">
        <v>74</v>
      </c>
      <c r="AD737" t="s">
        <v>74</v>
      </c>
      <c r="AE737" t="s">
        <v>74</v>
      </c>
      <c r="AF737" t="s">
        <v>74</v>
      </c>
      <c r="AG737">
        <v>43</v>
      </c>
      <c r="AH737">
        <v>119</v>
      </c>
      <c r="AI737">
        <v>131</v>
      </c>
      <c r="AJ737">
        <v>0</v>
      </c>
      <c r="AK737">
        <v>20</v>
      </c>
      <c r="AL737" t="s">
        <v>230</v>
      </c>
      <c r="AM737" t="s">
        <v>231</v>
      </c>
      <c r="AN737" t="s">
        <v>232</v>
      </c>
      <c r="AO737" t="s">
        <v>410</v>
      </c>
      <c r="AP737" t="s">
        <v>411</v>
      </c>
      <c r="AQ737" t="s">
        <v>74</v>
      </c>
      <c r="AR737" t="s">
        <v>412</v>
      </c>
      <c r="AS737" t="s">
        <v>413</v>
      </c>
      <c r="AT737" t="s">
        <v>9570</v>
      </c>
      <c r="AU737">
        <v>1999</v>
      </c>
      <c r="AV737">
        <v>104</v>
      </c>
      <c r="AW737" t="s">
        <v>9599</v>
      </c>
      <c r="AX737" t="s">
        <v>74</v>
      </c>
      <c r="AY737" t="s">
        <v>74</v>
      </c>
      <c r="AZ737" t="s">
        <v>74</v>
      </c>
      <c r="BA737" t="s">
        <v>74</v>
      </c>
      <c r="BB737">
        <v>5151</v>
      </c>
      <c r="BC737">
        <v>5176</v>
      </c>
      <c r="BD737" t="s">
        <v>74</v>
      </c>
      <c r="BE737" t="s">
        <v>9600</v>
      </c>
      <c r="BF737" t="str">
        <f>HYPERLINK("http://dx.doi.org/10.1029/1998JC900056","http://dx.doi.org/10.1029/1998JC900056")</f>
        <v>http://dx.doi.org/10.1029/1998JC900056</v>
      </c>
      <c r="BG737" t="s">
        <v>74</v>
      </c>
      <c r="BH737" t="s">
        <v>74</v>
      </c>
      <c r="BI737">
        <v>26</v>
      </c>
      <c r="BJ737" t="s">
        <v>416</v>
      </c>
      <c r="BK737" t="s">
        <v>96</v>
      </c>
      <c r="BL737" t="s">
        <v>416</v>
      </c>
      <c r="BM737" t="s">
        <v>9601</v>
      </c>
      <c r="BN737" t="s">
        <v>74</v>
      </c>
      <c r="BO737" t="s">
        <v>74</v>
      </c>
      <c r="BP737" t="s">
        <v>74</v>
      </c>
      <c r="BQ737" t="s">
        <v>74</v>
      </c>
      <c r="BR737" t="s">
        <v>99</v>
      </c>
      <c r="BS737" t="s">
        <v>9602</v>
      </c>
      <c r="BT737" t="str">
        <f>HYPERLINK("https%3A%2F%2Fwww.webofscience.com%2Fwos%2Fwoscc%2Ffull-record%2FWOS:000079239800002","View Full Record in Web of Science")</f>
        <v>View Full Record in Web of Science</v>
      </c>
    </row>
    <row r="738" spans="1:72" x14ac:dyDescent="0.15">
      <c r="A738" t="s">
        <v>72</v>
      </c>
      <c r="B738" t="s">
        <v>9603</v>
      </c>
      <c r="C738" t="s">
        <v>74</v>
      </c>
      <c r="D738" t="s">
        <v>74</v>
      </c>
      <c r="E738" t="s">
        <v>74</v>
      </c>
      <c r="F738" t="s">
        <v>9603</v>
      </c>
      <c r="G738" t="s">
        <v>74</v>
      </c>
      <c r="H738" t="s">
        <v>74</v>
      </c>
      <c r="I738" t="s">
        <v>9604</v>
      </c>
      <c r="J738" t="s">
        <v>403</v>
      </c>
      <c r="K738" t="s">
        <v>74</v>
      </c>
      <c r="L738" t="s">
        <v>74</v>
      </c>
      <c r="M738" t="s">
        <v>77</v>
      </c>
      <c r="N738" t="s">
        <v>78</v>
      </c>
      <c r="O738" t="s">
        <v>74</v>
      </c>
      <c r="P738" t="s">
        <v>74</v>
      </c>
      <c r="Q738" t="s">
        <v>74</v>
      </c>
      <c r="R738" t="s">
        <v>74</v>
      </c>
      <c r="S738" t="s">
        <v>74</v>
      </c>
      <c r="T738" t="s">
        <v>74</v>
      </c>
      <c r="U738" t="s">
        <v>9605</v>
      </c>
      <c r="V738" t="s">
        <v>9606</v>
      </c>
      <c r="W738" t="s">
        <v>9607</v>
      </c>
      <c r="X738" t="s">
        <v>9608</v>
      </c>
      <c r="Y738" t="s">
        <v>9609</v>
      </c>
      <c r="Z738" t="s">
        <v>9610</v>
      </c>
      <c r="AA738" t="s">
        <v>9611</v>
      </c>
      <c r="AB738" t="s">
        <v>9612</v>
      </c>
      <c r="AC738" t="s">
        <v>74</v>
      </c>
      <c r="AD738" t="s">
        <v>74</v>
      </c>
      <c r="AE738" t="s">
        <v>74</v>
      </c>
      <c r="AF738" t="s">
        <v>74</v>
      </c>
      <c r="AG738">
        <v>45</v>
      </c>
      <c r="AH738">
        <v>20</v>
      </c>
      <c r="AI738">
        <v>21</v>
      </c>
      <c r="AJ738">
        <v>1</v>
      </c>
      <c r="AK738">
        <v>8</v>
      </c>
      <c r="AL738" t="s">
        <v>230</v>
      </c>
      <c r="AM738" t="s">
        <v>231</v>
      </c>
      <c r="AN738" t="s">
        <v>232</v>
      </c>
      <c r="AO738" t="s">
        <v>410</v>
      </c>
      <c r="AP738" t="s">
        <v>411</v>
      </c>
      <c r="AQ738" t="s">
        <v>74</v>
      </c>
      <c r="AR738" t="s">
        <v>412</v>
      </c>
      <c r="AS738" t="s">
        <v>413</v>
      </c>
      <c r="AT738" t="s">
        <v>9570</v>
      </c>
      <c r="AU738">
        <v>1999</v>
      </c>
      <c r="AV738">
        <v>104</v>
      </c>
      <c r="AW738" t="s">
        <v>9599</v>
      </c>
      <c r="AX738" t="s">
        <v>74</v>
      </c>
      <c r="AY738" t="s">
        <v>74</v>
      </c>
      <c r="AZ738" t="s">
        <v>74</v>
      </c>
      <c r="BA738" t="s">
        <v>74</v>
      </c>
      <c r="BB738">
        <v>5191</v>
      </c>
      <c r="BC738">
        <v>5209</v>
      </c>
      <c r="BD738" t="s">
        <v>74</v>
      </c>
      <c r="BE738" t="s">
        <v>9613</v>
      </c>
      <c r="BF738" t="str">
        <f>HYPERLINK("http://dx.doi.org/10.1029/1998JC900106","http://dx.doi.org/10.1029/1998JC900106")</f>
        <v>http://dx.doi.org/10.1029/1998JC900106</v>
      </c>
      <c r="BG738" t="s">
        <v>74</v>
      </c>
      <c r="BH738" t="s">
        <v>74</v>
      </c>
      <c r="BI738">
        <v>19</v>
      </c>
      <c r="BJ738" t="s">
        <v>416</v>
      </c>
      <c r="BK738" t="s">
        <v>96</v>
      </c>
      <c r="BL738" t="s">
        <v>416</v>
      </c>
      <c r="BM738" t="s">
        <v>9601</v>
      </c>
      <c r="BN738" t="s">
        <v>74</v>
      </c>
      <c r="BO738" t="s">
        <v>74</v>
      </c>
      <c r="BP738" t="s">
        <v>74</v>
      </c>
      <c r="BQ738" t="s">
        <v>74</v>
      </c>
      <c r="BR738" t="s">
        <v>99</v>
      </c>
      <c r="BS738" t="s">
        <v>9614</v>
      </c>
      <c r="BT738" t="str">
        <f>HYPERLINK("https%3A%2F%2Fwww.webofscience.com%2Fwos%2Fwoscc%2Ffull-record%2FWOS:000079239800004","View Full Record in Web of Science")</f>
        <v>View Full Record in Web of Science</v>
      </c>
    </row>
    <row r="739" spans="1:72" x14ac:dyDescent="0.15">
      <c r="A739" t="s">
        <v>72</v>
      </c>
      <c r="B739" t="s">
        <v>9615</v>
      </c>
      <c r="C739" t="s">
        <v>74</v>
      </c>
      <c r="D739" t="s">
        <v>74</v>
      </c>
      <c r="E739" t="s">
        <v>74</v>
      </c>
      <c r="F739" t="s">
        <v>9615</v>
      </c>
      <c r="G739" t="s">
        <v>74</v>
      </c>
      <c r="H739" t="s">
        <v>74</v>
      </c>
      <c r="I739" t="s">
        <v>9616</v>
      </c>
      <c r="J739" t="s">
        <v>2338</v>
      </c>
      <c r="K739" t="s">
        <v>74</v>
      </c>
      <c r="L739" t="s">
        <v>74</v>
      </c>
      <c r="M739" t="s">
        <v>77</v>
      </c>
      <c r="N739" t="s">
        <v>123</v>
      </c>
      <c r="O739" t="s">
        <v>9617</v>
      </c>
      <c r="P739" t="s">
        <v>9618</v>
      </c>
      <c r="Q739" t="s">
        <v>6358</v>
      </c>
      <c r="R739" t="s">
        <v>74</v>
      </c>
      <c r="S739" t="s">
        <v>74</v>
      </c>
      <c r="T739" t="s">
        <v>9619</v>
      </c>
      <c r="U739" t="s">
        <v>9620</v>
      </c>
      <c r="V739" t="s">
        <v>9621</v>
      </c>
      <c r="W739" t="s">
        <v>9622</v>
      </c>
      <c r="X739" t="s">
        <v>9623</v>
      </c>
      <c r="Y739" t="s">
        <v>9624</v>
      </c>
      <c r="Z739" t="s">
        <v>9625</v>
      </c>
      <c r="AA739" t="s">
        <v>9626</v>
      </c>
      <c r="AB739" t="s">
        <v>9627</v>
      </c>
      <c r="AC739" t="s">
        <v>74</v>
      </c>
      <c r="AD739" t="s">
        <v>74</v>
      </c>
      <c r="AE739" t="s">
        <v>74</v>
      </c>
      <c r="AF739" t="s">
        <v>74</v>
      </c>
      <c r="AG739">
        <v>130</v>
      </c>
      <c r="AH739">
        <v>599</v>
      </c>
      <c r="AI739">
        <v>874</v>
      </c>
      <c r="AJ739">
        <v>8</v>
      </c>
      <c r="AK739">
        <v>374</v>
      </c>
      <c r="AL739" t="s">
        <v>1263</v>
      </c>
      <c r="AM739" t="s">
        <v>211</v>
      </c>
      <c r="AN739" t="s">
        <v>1264</v>
      </c>
      <c r="AO739" t="s">
        <v>2349</v>
      </c>
      <c r="AP739" t="s">
        <v>2350</v>
      </c>
      <c r="AQ739" t="s">
        <v>74</v>
      </c>
      <c r="AR739" t="s">
        <v>2351</v>
      </c>
      <c r="AS739" t="s">
        <v>2352</v>
      </c>
      <c r="AT739" t="s">
        <v>9570</v>
      </c>
      <c r="AU739">
        <v>1999</v>
      </c>
      <c r="AV739">
        <v>156</v>
      </c>
      <c r="AW739" t="s">
        <v>2149</v>
      </c>
      <c r="AX739" t="s">
        <v>74</v>
      </c>
      <c r="AY739" t="s">
        <v>74</v>
      </c>
      <c r="AZ739" t="s">
        <v>74</v>
      </c>
      <c r="BA739" t="s">
        <v>74</v>
      </c>
      <c r="BB739">
        <v>245</v>
      </c>
      <c r="BC739">
        <v>284</v>
      </c>
      <c r="BD739" t="s">
        <v>74</v>
      </c>
      <c r="BE739" t="s">
        <v>9628</v>
      </c>
      <c r="BF739" t="str">
        <f>HYPERLINK("http://dx.doi.org/10.1016/S0025-3227(98)00182-0","http://dx.doi.org/10.1016/S0025-3227(98)00182-0")</f>
        <v>http://dx.doi.org/10.1016/S0025-3227(98)00182-0</v>
      </c>
      <c r="BG739" t="s">
        <v>74</v>
      </c>
      <c r="BH739" t="s">
        <v>74</v>
      </c>
      <c r="BI739">
        <v>40</v>
      </c>
      <c r="BJ739" t="s">
        <v>2355</v>
      </c>
      <c r="BK739" t="s">
        <v>156</v>
      </c>
      <c r="BL739" t="s">
        <v>2356</v>
      </c>
      <c r="BM739" t="s">
        <v>9629</v>
      </c>
      <c r="BN739" t="s">
        <v>74</v>
      </c>
      <c r="BO739" t="s">
        <v>1214</v>
      </c>
      <c r="BP739" t="s">
        <v>74</v>
      </c>
      <c r="BQ739" t="s">
        <v>74</v>
      </c>
      <c r="BR739" t="s">
        <v>99</v>
      </c>
      <c r="BS739" t="s">
        <v>9630</v>
      </c>
      <c r="BT739" t="str">
        <f>HYPERLINK("https%3A%2F%2Fwww.webofscience.com%2Fwos%2Fwoscc%2Ffull-record%2FWOS:000079119500012","View Full Record in Web of Science")</f>
        <v>View Full Record in Web of Science</v>
      </c>
    </row>
    <row r="740" spans="1:72" x14ac:dyDescent="0.15">
      <c r="A740" t="s">
        <v>72</v>
      </c>
      <c r="B740" t="s">
        <v>9631</v>
      </c>
      <c r="C740" t="s">
        <v>74</v>
      </c>
      <c r="D740" t="s">
        <v>74</v>
      </c>
      <c r="E740" t="s">
        <v>74</v>
      </c>
      <c r="F740" t="s">
        <v>9631</v>
      </c>
      <c r="G740" t="s">
        <v>74</v>
      </c>
      <c r="H740" t="s">
        <v>74</v>
      </c>
      <c r="I740" t="s">
        <v>9632</v>
      </c>
      <c r="J740" t="s">
        <v>1337</v>
      </c>
      <c r="K740" t="s">
        <v>74</v>
      </c>
      <c r="L740" t="s">
        <v>74</v>
      </c>
      <c r="M740" t="s">
        <v>77</v>
      </c>
      <c r="N740" t="s">
        <v>78</v>
      </c>
      <c r="O740" t="s">
        <v>74</v>
      </c>
      <c r="P740" t="s">
        <v>74</v>
      </c>
      <c r="Q740" t="s">
        <v>74</v>
      </c>
      <c r="R740" t="s">
        <v>74</v>
      </c>
      <c r="S740" t="s">
        <v>74</v>
      </c>
      <c r="T740" t="s">
        <v>9633</v>
      </c>
      <c r="U740" t="s">
        <v>9634</v>
      </c>
      <c r="V740" t="s">
        <v>9635</v>
      </c>
      <c r="W740" t="s">
        <v>9636</v>
      </c>
      <c r="X740" t="s">
        <v>9637</v>
      </c>
      <c r="Y740" t="s">
        <v>9638</v>
      </c>
      <c r="Z740" t="s">
        <v>9639</v>
      </c>
      <c r="AA740" t="s">
        <v>74</v>
      </c>
      <c r="AB740" t="s">
        <v>74</v>
      </c>
      <c r="AC740" t="s">
        <v>74</v>
      </c>
      <c r="AD740" t="s">
        <v>74</v>
      </c>
      <c r="AE740" t="s">
        <v>74</v>
      </c>
      <c r="AF740" t="s">
        <v>74</v>
      </c>
      <c r="AG740">
        <v>63</v>
      </c>
      <c r="AH740">
        <v>96</v>
      </c>
      <c r="AI740">
        <v>112</v>
      </c>
      <c r="AJ740">
        <v>0</v>
      </c>
      <c r="AK740">
        <v>12</v>
      </c>
      <c r="AL740" t="s">
        <v>210</v>
      </c>
      <c r="AM740" t="s">
        <v>211</v>
      </c>
      <c r="AN740" t="s">
        <v>212</v>
      </c>
      <c r="AO740" t="s">
        <v>1345</v>
      </c>
      <c r="AP740" t="s">
        <v>74</v>
      </c>
      <c r="AQ740" t="s">
        <v>74</v>
      </c>
      <c r="AR740" t="s">
        <v>1347</v>
      </c>
      <c r="AS740" t="s">
        <v>1348</v>
      </c>
      <c r="AT740" t="s">
        <v>9570</v>
      </c>
      <c r="AU740">
        <v>1999</v>
      </c>
      <c r="AV740">
        <v>147</v>
      </c>
      <c r="AW740" t="s">
        <v>141</v>
      </c>
      <c r="AX740" t="s">
        <v>74</v>
      </c>
      <c r="AY740" t="s">
        <v>74</v>
      </c>
      <c r="AZ740" t="s">
        <v>74</v>
      </c>
      <c r="BA740" t="s">
        <v>74</v>
      </c>
      <c r="BB740">
        <v>223</v>
      </c>
      <c r="BC740">
        <v>239</v>
      </c>
      <c r="BD740" t="s">
        <v>74</v>
      </c>
      <c r="BE740" t="s">
        <v>9640</v>
      </c>
      <c r="BF740" t="str">
        <f>HYPERLINK("http://dx.doi.org/10.1016/S0031-0182(98)00159-X","http://dx.doi.org/10.1016/S0031-0182(98)00159-X")</f>
        <v>http://dx.doi.org/10.1016/S0031-0182(98)00159-X</v>
      </c>
      <c r="BG740" t="s">
        <v>74</v>
      </c>
      <c r="BH740" t="s">
        <v>74</v>
      </c>
      <c r="BI740">
        <v>17</v>
      </c>
      <c r="BJ740" t="s">
        <v>1350</v>
      </c>
      <c r="BK740" t="s">
        <v>96</v>
      </c>
      <c r="BL740" t="s">
        <v>1351</v>
      </c>
      <c r="BM740" t="s">
        <v>9641</v>
      </c>
      <c r="BN740" t="s">
        <v>74</v>
      </c>
      <c r="BO740" t="s">
        <v>74</v>
      </c>
      <c r="BP740" t="s">
        <v>74</v>
      </c>
      <c r="BQ740" t="s">
        <v>74</v>
      </c>
      <c r="BR740" t="s">
        <v>99</v>
      </c>
      <c r="BS740" t="s">
        <v>9642</v>
      </c>
      <c r="BT740" t="str">
        <f>HYPERLINK("https%3A%2F%2Fwww.webofscience.com%2Fwos%2Fwoscc%2Ffull-record%2FWOS:000079062400004","View Full Record in Web of Science")</f>
        <v>View Full Record in Web of Science</v>
      </c>
    </row>
    <row r="741" spans="1:72" x14ac:dyDescent="0.15">
      <c r="A741" t="s">
        <v>72</v>
      </c>
      <c r="B741" t="s">
        <v>9643</v>
      </c>
      <c r="C741" t="s">
        <v>74</v>
      </c>
      <c r="D741" t="s">
        <v>74</v>
      </c>
      <c r="E741" t="s">
        <v>74</v>
      </c>
      <c r="F741" t="s">
        <v>9643</v>
      </c>
      <c r="G741" t="s">
        <v>74</v>
      </c>
      <c r="H741" t="s">
        <v>74</v>
      </c>
      <c r="I741" t="s">
        <v>9644</v>
      </c>
      <c r="J741" t="s">
        <v>9562</v>
      </c>
      <c r="K741" t="s">
        <v>74</v>
      </c>
      <c r="L741" t="s">
        <v>74</v>
      </c>
      <c r="M741" t="s">
        <v>77</v>
      </c>
      <c r="N741" t="s">
        <v>52</v>
      </c>
      <c r="O741" t="s">
        <v>74</v>
      </c>
      <c r="P741" t="s">
        <v>74</v>
      </c>
      <c r="Q741" t="s">
        <v>74</v>
      </c>
      <c r="R741" t="s">
        <v>74</v>
      </c>
      <c r="S741" t="s">
        <v>74</v>
      </c>
      <c r="T741" t="s">
        <v>74</v>
      </c>
      <c r="U741" t="s">
        <v>74</v>
      </c>
      <c r="V741" t="s">
        <v>74</v>
      </c>
      <c r="W741" t="s">
        <v>9645</v>
      </c>
      <c r="X741" t="s">
        <v>9564</v>
      </c>
      <c r="Y741" t="s">
        <v>74</v>
      </c>
      <c r="Z741" t="s">
        <v>74</v>
      </c>
      <c r="AA741" t="s">
        <v>74</v>
      </c>
      <c r="AB741" t="s">
        <v>74</v>
      </c>
      <c r="AC741" t="s">
        <v>74</v>
      </c>
      <c r="AD741" t="s">
        <v>74</v>
      </c>
      <c r="AE741" t="s">
        <v>74</v>
      </c>
      <c r="AF741" t="s">
        <v>74</v>
      </c>
      <c r="AG741">
        <v>0</v>
      </c>
      <c r="AH741">
        <v>0</v>
      </c>
      <c r="AI741">
        <v>0</v>
      </c>
      <c r="AJ741">
        <v>1</v>
      </c>
      <c r="AK741">
        <v>1</v>
      </c>
      <c r="AL741" t="s">
        <v>9565</v>
      </c>
      <c r="AM741" t="s">
        <v>1290</v>
      </c>
      <c r="AN741" t="s">
        <v>9566</v>
      </c>
      <c r="AO741" t="s">
        <v>9567</v>
      </c>
      <c r="AP741" t="s">
        <v>74</v>
      </c>
      <c r="AQ741" t="s">
        <v>74</v>
      </c>
      <c r="AR741" t="s">
        <v>9568</v>
      </c>
      <c r="AS741" t="s">
        <v>9569</v>
      </c>
      <c r="AT741" t="s">
        <v>9646</v>
      </c>
      <c r="AU741">
        <v>1999</v>
      </c>
      <c r="AV741">
        <v>13</v>
      </c>
      <c r="AW741">
        <v>4</v>
      </c>
      <c r="AX741">
        <v>1</v>
      </c>
      <c r="AY741" t="s">
        <v>1295</v>
      </c>
      <c r="AZ741" t="s">
        <v>74</v>
      </c>
      <c r="BA741" t="s">
        <v>74</v>
      </c>
      <c r="BB741" t="s">
        <v>9647</v>
      </c>
      <c r="BC741" t="s">
        <v>9647</v>
      </c>
      <c r="BD741" t="s">
        <v>74</v>
      </c>
      <c r="BE741" t="s">
        <v>74</v>
      </c>
      <c r="BF741" t="s">
        <v>74</v>
      </c>
      <c r="BG741" t="s">
        <v>74</v>
      </c>
      <c r="BH741" t="s">
        <v>74</v>
      </c>
      <c r="BI741">
        <v>1</v>
      </c>
      <c r="BJ741" t="s">
        <v>9572</v>
      </c>
      <c r="BK741" t="s">
        <v>96</v>
      </c>
      <c r="BL741" t="s">
        <v>9573</v>
      </c>
      <c r="BM741" t="s">
        <v>9648</v>
      </c>
      <c r="BN741" t="s">
        <v>74</v>
      </c>
      <c r="BO741" t="s">
        <v>74</v>
      </c>
      <c r="BP741" t="s">
        <v>74</v>
      </c>
      <c r="BQ741" t="s">
        <v>74</v>
      </c>
      <c r="BR741" t="s">
        <v>99</v>
      </c>
      <c r="BS741" t="s">
        <v>9649</v>
      </c>
      <c r="BT741" t="str">
        <f>HYPERLINK("https%3A%2F%2Fwww.webofscience.com%2Fwos%2Fwoscc%2Ffull-record%2FWOS:000082033302214","View Full Record in Web of Science")</f>
        <v>View Full Record in Web of Science</v>
      </c>
    </row>
    <row r="742" spans="1:72" x14ac:dyDescent="0.15">
      <c r="A742" t="s">
        <v>72</v>
      </c>
      <c r="B742" t="s">
        <v>9650</v>
      </c>
      <c r="C742" t="s">
        <v>74</v>
      </c>
      <c r="D742" t="s">
        <v>74</v>
      </c>
      <c r="E742" t="s">
        <v>74</v>
      </c>
      <c r="F742" t="s">
        <v>9650</v>
      </c>
      <c r="G742" t="s">
        <v>74</v>
      </c>
      <c r="H742" t="s">
        <v>74</v>
      </c>
      <c r="I742" t="s">
        <v>9651</v>
      </c>
      <c r="J742" t="s">
        <v>9562</v>
      </c>
      <c r="K742" t="s">
        <v>74</v>
      </c>
      <c r="L742" t="s">
        <v>74</v>
      </c>
      <c r="M742" t="s">
        <v>77</v>
      </c>
      <c r="N742" t="s">
        <v>52</v>
      </c>
      <c r="O742" t="s">
        <v>74</v>
      </c>
      <c r="P742" t="s">
        <v>74</v>
      </c>
      <c r="Q742" t="s">
        <v>74</v>
      </c>
      <c r="R742" t="s">
        <v>74</v>
      </c>
      <c r="S742" t="s">
        <v>74</v>
      </c>
      <c r="T742" t="s">
        <v>74</v>
      </c>
      <c r="U742" t="s">
        <v>74</v>
      </c>
      <c r="V742" t="s">
        <v>74</v>
      </c>
      <c r="W742" t="s">
        <v>9652</v>
      </c>
      <c r="X742" t="s">
        <v>74</v>
      </c>
      <c r="Y742" t="s">
        <v>74</v>
      </c>
      <c r="Z742" t="s">
        <v>74</v>
      </c>
      <c r="AA742" t="s">
        <v>74</v>
      </c>
      <c r="AB742" t="s">
        <v>74</v>
      </c>
      <c r="AC742" t="s">
        <v>74</v>
      </c>
      <c r="AD742" t="s">
        <v>74</v>
      </c>
      <c r="AE742" t="s">
        <v>74</v>
      </c>
      <c r="AF742" t="s">
        <v>74</v>
      </c>
      <c r="AG742">
        <v>0</v>
      </c>
      <c r="AH742">
        <v>0</v>
      </c>
      <c r="AI742">
        <v>0</v>
      </c>
      <c r="AJ742">
        <v>0</v>
      </c>
      <c r="AK742">
        <v>6</v>
      </c>
      <c r="AL742" t="s">
        <v>9565</v>
      </c>
      <c r="AM742" t="s">
        <v>1290</v>
      </c>
      <c r="AN742" t="s">
        <v>9566</v>
      </c>
      <c r="AO742" t="s">
        <v>9567</v>
      </c>
      <c r="AP742" t="s">
        <v>74</v>
      </c>
      <c r="AQ742" t="s">
        <v>74</v>
      </c>
      <c r="AR742" t="s">
        <v>9568</v>
      </c>
      <c r="AS742" t="s">
        <v>9569</v>
      </c>
      <c r="AT742" t="s">
        <v>9646</v>
      </c>
      <c r="AU742">
        <v>1999</v>
      </c>
      <c r="AV742">
        <v>13</v>
      </c>
      <c r="AW742">
        <v>4</v>
      </c>
      <c r="AX742">
        <v>1</v>
      </c>
      <c r="AY742" t="s">
        <v>1295</v>
      </c>
      <c r="AZ742" t="s">
        <v>74</v>
      </c>
      <c r="BA742" t="s">
        <v>74</v>
      </c>
      <c r="BB742" t="s">
        <v>9653</v>
      </c>
      <c r="BC742" t="s">
        <v>9653</v>
      </c>
      <c r="BD742" t="s">
        <v>74</v>
      </c>
      <c r="BE742" t="s">
        <v>74</v>
      </c>
      <c r="BF742" t="s">
        <v>74</v>
      </c>
      <c r="BG742" t="s">
        <v>74</v>
      </c>
      <c r="BH742" t="s">
        <v>74</v>
      </c>
      <c r="BI742">
        <v>1</v>
      </c>
      <c r="BJ742" t="s">
        <v>9572</v>
      </c>
      <c r="BK742" t="s">
        <v>96</v>
      </c>
      <c r="BL742" t="s">
        <v>9573</v>
      </c>
      <c r="BM742" t="s">
        <v>9648</v>
      </c>
      <c r="BN742" t="s">
        <v>74</v>
      </c>
      <c r="BO742" t="s">
        <v>74</v>
      </c>
      <c r="BP742" t="s">
        <v>74</v>
      </c>
      <c r="BQ742" t="s">
        <v>74</v>
      </c>
      <c r="BR742" t="s">
        <v>99</v>
      </c>
      <c r="BS742" t="s">
        <v>9654</v>
      </c>
      <c r="BT742" t="str">
        <f>HYPERLINK("https%3A%2F%2Fwww.webofscience.com%2Fwos%2Fwoscc%2Ffull-record%2FWOS:000082033301488","View Full Record in Web of Science")</f>
        <v>View Full Record in Web of Science</v>
      </c>
    </row>
    <row r="743" spans="1:72" x14ac:dyDescent="0.15">
      <c r="A743" t="s">
        <v>72</v>
      </c>
      <c r="B743" t="s">
        <v>9655</v>
      </c>
      <c r="C743" t="s">
        <v>74</v>
      </c>
      <c r="D743" t="s">
        <v>74</v>
      </c>
      <c r="E743" t="s">
        <v>74</v>
      </c>
      <c r="F743" t="s">
        <v>9655</v>
      </c>
      <c r="G743" t="s">
        <v>74</v>
      </c>
      <c r="H743" t="s">
        <v>74</v>
      </c>
      <c r="I743" t="s">
        <v>9656</v>
      </c>
      <c r="J743" t="s">
        <v>1794</v>
      </c>
      <c r="K743" t="s">
        <v>74</v>
      </c>
      <c r="L743" t="s">
        <v>74</v>
      </c>
      <c r="M743" t="s">
        <v>77</v>
      </c>
      <c r="N743" t="s">
        <v>78</v>
      </c>
      <c r="O743" t="s">
        <v>74</v>
      </c>
      <c r="P743" t="s">
        <v>74</v>
      </c>
      <c r="Q743" t="s">
        <v>74</v>
      </c>
      <c r="R743" t="s">
        <v>74</v>
      </c>
      <c r="S743" t="s">
        <v>74</v>
      </c>
      <c r="T743" t="s">
        <v>74</v>
      </c>
      <c r="U743" t="s">
        <v>9657</v>
      </c>
      <c r="V743" t="s">
        <v>9658</v>
      </c>
      <c r="W743" t="s">
        <v>9659</v>
      </c>
      <c r="X743" t="s">
        <v>4692</v>
      </c>
      <c r="Y743" t="s">
        <v>9660</v>
      </c>
      <c r="Z743" t="s">
        <v>74</v>
      </c>
      <c r="AA743" t="s">
        <v>9661</v>
      </c>
      <c r="AB743" t="s">
        <v>9662</v>
      </c>
      <c r="AC743" t="s">
        <v>74</v>
      </c>
      <c r="AD743" t="s">
        <v>74</v>
      </c>
      <c r="AE743" t="s">
        <v>74</v>
      </c>
      <c r="AF743" t="s">
        <v>74</v>
      </c>
      <c r="AG743">
        <v>22</v>
      </c>
      <c r="AH743">
        <v>196</v>
      </c>
      <c r="AI743">
        <v>229</v>
      </c>
      <c r="AJ743">
        <v>3</v>
      </c>
      <c r="AK743">
        <v>101</v>
      </c>
      <c r="AL743" t="s">
        <v>1802</v>
      </c>
      <c r="AM743" t="s">
        <v>231</v>
      </c>
      <c r="AN743" t="s">
        <v>1803</v>
      </c>
      <c r="AO743" t="s">
        <v>1804</v>
      </c>
      <c r="AP743" t="s">
        <v>74</v>
      </c>
      <c r="AQ743" t="s">
        <v>74</v>
      </c>
      <c r="AR743" t="s">
        <v>1794</v>
      </c>
      <c r="AS743" t="s">
        <v>1805</v>
      </c>
      <c r="AT743" t="s">
        <v>9646</v>
      </c>
      <c r="AU743">
        <v>1999</v>
      </c>
      <c r="AV743">
        <v>283</v>
      </c>
      <c r="AW743">
        <v>5408</v>
      </c>
      <c r="AX743" t="s">
        <v>74</v>
      </c>
      <c r="AY743" t="s">
        <v>74</v>
      </c>
      <c r="AZ743" t="s">
        <v>74</v>
      </c>
      <c r="BA743" t="s">
        <v>74</v>
      </c>
      <c r="BB743">
        <v>1712</v>
      </c>
      <c r="BC743">
        <v>1714</v>
      </c>
      <c r="BD743" t="s">
        <v>74</v>
      </c>
      <c r="BE743" t="s">
        <v>9663</v>
      </c>
      <c r="BF743" t="str">
        <f>HYPERLINK("http://dx.doi.org/10.1126/science.283.5408.1712","http://dx.doi.org/10.1126/science.283.5408.1712")</f>
        <v>http://dx.doi.org/10.1126/science.283.5408.1712</v>
      </c>
      <c r="BG743" t="s">
        <v>74</v>
      </c>
      <c r="BH743" t="s">
        <v>74</v>
      </c>
      <c r="BI743">
        <v>3</v>
      </c>
      <c r="BJ743" t="s">
        <v>303</v>
      </c>
      <c r="BK743" t="s">
        <v>96</v>
      </c>
      <c r="BL743" t="s">
        <v>304</v>
      </c>
      <c r="BM743" t="s">
        <v>9664</v>
      </c>
      <c r="BN743">
        <v>10073931</v>
      </c>
      <c r="BO743" t="s">
        <v>74</v>
      </c>
      <c r="BP743" t="s">
        <v>74</v>
      </c>
      <c r="BQ743" t="s">
        <v>74</v>
      </c>
      <c r="BR743" t="s">
        <v>99</v>
      </c>
      <c r="BS743" t="s">
        <v>9665</v>
      </c>
      <c r="BT743" t="str">
        <f>HYPERLINK("https%3A%2F%2Fwww.webofscience.com%2Fwos%2Fwoscc%2Ffull-record%2FWOS:000079102800044","View Full Record in Web of Science")</f>
        <v>View Full Record in Web of Science</v>
      </c>
    </row>
    <row r="744" spans="1:72" x14ac:dyDescent="0.15">
      <c r="A744" t="s">
        <v>72</v>
      </c>
      <c r="B744" t="s">
        <v>9666</v>
      </c>
      <c r="C744" t="s">
        <v>74</v>
      </c>
      <c r="D744" t="s">
        <v>74</v>
      </c>
      <c r="E744" t="s">
        <v>74</v>
      </c>
      <c r="F744" t="s">
        <v>9666</v>
      </c>
      <c r="G744" t="s">
        <v>74</v>
      </c>
      <c r="H744" t="s">
        <v>74</v>
      </c>
      <c r="I744" t="s">
        <v>9667</v>
      </c>
      <c r="J744" t="s">
        <v>290</v>
      </c>
      <c r="K744" t="s">
        <v>74</v>
      </c>
      <c r="L744" t="s">
        <v>74</v>
      </c>
      <c r="M744" t="s">
        <v>77</v>
      </c>
      <c r="N744" t="s">
        <v>78</v>
      </c>
      <c r="O744" t="s">
        <v>74</v>
      </c>
      <c r="P744" t="s">
        <v>74</v>
      </c>
      <c r="Q744" t="s">
        <v>74</v>
      </c>
      <c r="R744" t="s">
        <v>74</v>
      </c>
      <c r="S744" t="s">
        <v>74</v>
      </c>
      <c r="T744" t="s">
        <v>74</v>
      </c>
      <c r="U744" t="s">
        <v>74</v>
      </c>
      <c r="V744" t="s">
        <v>9668</v>
      </c>
      <c r="W744" t="s">
        <v>9669</v>
      </c>
      <c r="X744" t="s">
        <v>9670</v>
      </c>
      <c r="Y744" t="s">
        <v>9671</v>
      </c>
      <c r="Z744" t="s">
        <v>9672</v>
      </c>
      <c r="AA744" t="s">
        <v>9673</v>
      </c>
      <c r="AB744" t="s">
        <v>74</v>
      </c>
      <c r="AC744" t="s">
        <v>74</v>
      </c>
      <c r="AD744" t="s">
        <v>74</v>
      </c>
      <c r="AE744" t="s">
        <v>74</v>
      </c>
      <c r="AF744" t="s">
        <v>74</v>
      </c>
      <c r="AG744">
        <v>3</v>
      </c>
      <c r="AH744">
        <v>5</v>
      </c>
      <c r="AI744">
        <v>5</v>
      </c>
      <c r="AJ744">
        <v>0</v>
      </c>
      <c r="AK744">
        <v>0</v>
      </c>
      <c r="AL744" t="s">
        <v>9674</v>
      </c>
      <c r="AM744" t="s">
        <v>297</v>
      </c>
      <c r="AN744" t="s">
        <v>9675</v>
      </c>
      <c r="AO744" t="s">
        <v>299</v>
      </c>
      <c r="AP744" t="s">
        <v>74</v>
      </c>
      <c r="AQ744" t="s">
        <v>74</v>
      </c>
      <c r="AR744" t="s">
        <v>300</v>
      </c>
      <c r="AS744" t="s">
        <v>301</v>
      </c>
      <c r="AT744" t="s">
        <v>9676</v>
      </c>
      <c r="AU744">
        <v>1999</v>
      </c>
      <c r="AV744">
        <v>76</v>
      </c>
      <c r="AW744">
        <v>5</v>
      </c>
      <c r="AX744" t="s">
        <v>74</v>
      </c>
      <c r="AY744" t="s">
        <v>74</v>
      </c>
      <c r="AZ744" t="s">
        <v>74</v>
      </c>
      <c r="BA744" t="s">
        <v>74</v>
      </c>
      <c r="BB744">
        <v>680</v>
      </c>
      <c r="BC744">
        <v>683</v>
      </c>
      <c r="BD744" t="s">
        <v>74</v>
      </c>
      <c r="BE744" t="s">
        <v>74</v>
      </c>
      <c r="BF744" t="s">
        <v>74</v>
      </c>
      <c r="BG744" t="s">
        <v>74</v>
      </c>
      <c r="BH744" t="s">
        <v>74</v>
      </c>
      <c r="BI744">
        <v>4</v>
      </c>
      <c r="BJ744" t="s">
        <v>303</v>
      </c>
      <c r="BK744" t="s">
        <v>96</v>
      </c>
      <c r="BL744" t="s">
        <v>304</v>
      </c>
      <c r="BM744" t="s">
        <v>9677</v>
      </c>
      <c r="BN744" t="s">
        <v>74</v>
      </c>
      <c r="BO744" t="s">
        <v>74</v>
      </c>
      <c r="BP744" t="s">
        <v>74</v>
      </c>
      <c r="BQ744" t="s">
        <v>74</v>
      </c>
      <c r="BR744" t="s">
        <v>99</v>
      </c>
      <c r="BS744" t="s">
        <v>9678</v>
      </c>
      <c r="BT744" t="str">
        <f>HYPERLINK("https%3A%2F%2Fwww.webofscience.com%2Fwos%2Fwoscc%2Ffull-record%2FWOS:000079241400022","View Full Record in Web of Science")</f>
        <v>View Full Record in Web of Science</v>
      </c>
    </row>
    <row r="745" spans="1:72" x14ac:dyDescent="0.15">
      <c r="A745" t="s">
        <v>72</v>
      </c>
      <c r="B745" t="s">
        <v>9679</v>
      </c>
      <c r="C745" t="s">
        <v>74</v>
      </c>
      <c r="D745" t="s">
        <v>74</v>
      </c>
      <c r="E745" t="s">
        <v>74</v>
      </c>
      <c r="F745" t="s">
        <v>9679</v>
      </c>
      <c r="G745" t="s">
        <v>74</v>
      </c>
      <c r="H745" t="s">
        <v>74</v>
      </c>
      <c r="I745" t="s">
        <v>9680</v>
      </c>
      <c r="J745" t="s">
        <v>458</v>
      </c>
      <c r="K745" t="s">
        <v>74</v>
      </c>
      <c r="L745" t="s">
        <v>74</v>
      </c>
      <c r="M745" t="s">
        <v>77</v>
      </c>
      <c r="N745" t="s">
        <v>78</v>
      </c>
      <c r="O745" t="s">
        <v>74</v>
      </c>
      <c r="P745" t="s">
        <v>74</v>
      </c>
      <c r="Q745" t="s">
        <v>74</v>
      </c>
      <c r="R745" t="s">
        <v>74</v>
      </c>
      <c r="S745" t="s">
        <v>74</v>
      </c>
      <c r="T745" t="s">
        <v>74</v>
      </c>
      <c r="U745" t="s">
        <v>9681</v>
      </c>
      <c r="V745" t="s">
        <v>9682</v>
      </c>
      <c r="W745" t="s">
        <v>9683</v>
      </c>
      <c r="X745" t="s">
        <v>9684</v>
      </c>
      <c r="Y745" t="s">
        <v>9685</v>
      </c>
      <c r="Z745" t="s">
        <v>9686</v>
      </c>
      <c r="AA745" t="s">
        <v>9687</v>
      </c>
      <c r="AB745" t="s">
        <v>9688</v>
      </c>
      <c r="AC745" t="s">
        <v>74</v>
      </c>
      <c r="AD745" t="s">
        <v>74</v>
      </c>
      <c r="AE745" t="s">
        <v>74</v>
      </c>
      <c r="AF745" t="s">
        <v>74</v>
      </c>
      <c r="AG745">
        <v>39</v>
      </c>
      <c r="AH745">
        <v>19</v>
      </c>
      <c r="AI745">
        <v>22</v>
      </c>
      <c r="AJ745">
        <v>0</v>
      </c>
      <c r="AK745">
        <v>5</v>
      </c>
      <c r="AL745" t="s">
        <v>230</v>
      </c>
      <c r="AM745" t="s">
        <v>231</v>
      </c>
      <c r="AN745" t="s">
        <v>232</v>
      </c>
      <c r="AO745" t="s">
        <v>465</v>
      </c>
      <c r="AP745" t="s">
        <v>466</v>
      </c>
      <c r="AQ745" t="s">
        <v>74</v>
      </c>
      <c r="AR745" t="s">
        <v>467</v>
      </c>
      <c r="AS745" t="s">
        <v>468</v>
      </c>
      <c r="AT745" t="s">
        <v>9676</v>
      </c>
      <c r="AU745">
        <v>1999</v>
      </c>
      <c r="AV745">
        <v>104</v>
      </c>
      <c r="AW745" t="s">
        <v>9689</v>
      </c>
      <c r="AX745" t="s">
        <v>74</v>
      </c>
      <c r="AY745" t="s">
        <v>74</v>
      </c>
      <c r="AZ745" t="s">
        <v>74</v>
      </c>
      <c r="BA745" t="s">
        <v>74</v>
      </c>
      <c r="BB745">
        <v>4967</v>
      </c>
      <c r="BC745">
        <v>4981</v>
      </c>
      <c r="BD745" t="s">
        <v>74</v>
      </c>
      <c r="BE745" t="s">
        <v>9690</v>
      </c>
      <c r="BF745" t="str">
        <f>HYPERLINK("http://dx.doi.org/10.1029/1998JB900075","http://dx.doi.org/10.1029/1998JB900075")</f>
        <v>http://dx.doi.org/10.1029/1998JB900075</v>
      </c>
      <c r="BG745" t="s">
        <v>74</v>
      </c>
      <c r="BH745" t="s">
        <v>74</v>
      </c>
      <c r="BI745">
        <v>15</v>
      </c>
      <c r="BJ745" t="s">
        <v>216</v>
      </c>
      <c r="BK745" t="s">
        <v>96</v>
      </c>
      <c r="BL745" t="s">
        <v>216</v>
      </c>
      <c r="BM745" t="s">
        <v>9691</v>
      </c>
      <c r="BN745" t="s">
        <v>74</v>
      </c>
      <c r="BO745" t="s">
        <v>2824</v>
      </c>
      <c r="BP745" t="s">
        <v>74</v>
      </c>
      <c r="BQ745" t="s">
        <v>74</v>
      </c>
      <c r="BR745" t="s">
        <v>99</v>
      </c>
      <c r="BS745" t="s">
        <v>9692</v>
      </c>
      <c r="BT745" t="str">
        <f>HYPERLINK("https%3A%2F%2Fwww.webofscience.com%2Fwos%2Fwoscc%2Ffull-record%2FWOS:000079145800014","View Full Record in Web of Science")</f>
        <v>View Full Record in Web of Science</v>
      </c>
    </row>
    <row r="746" spans="1:72" x14ac:dyDescent="0.15">
      <c r="A746" t="s">
        <v>72</v>
      </c>
      <c r="B746" t="s">
        <v>9693</v>
      </c>
      <c r="C746" t="s">
        <v>74</v>
      </c>
      <c r="D746" t="s">
        <v>74</v>
      </c>
      <c r="E746" t="s">
        <v>74</v>
      </c>
      <c r="F746" t="s">
        <v>9693</v>
      </c>
      <c r="G746" t="s">
        <v>74</v>
      </c>
      <c r="H746" t="s">
        <v>74</v>
      </c>
      <c r="I746" t="s">
        <v>9694</v>
      </c>
      <c r="J746" t="s">
        <v>458</v>
      </c>
      <c r="K746" t="s">
        <v>74</v>
      </c>
      <c r="L746" t="s">
        <v>74</v>
      </c>
      <c r="M746" t="s">
        <v>77</v>
      </c>
      <c r="N746" t="s">
        <v>78</v>
      </c>
      <c r="O746" t="s">
        <v>74</v>
      </c>
      <c r="P746" t="s">
        <v>74</v>
      </c>
      <c r="Q746" t="s">
        <v>74</v>
      </c>
      <c r="R746" t="s">
        <v>74</v>
      </c>
      <c r="S746" t="s">
        <v>74</v>
      </c>
      <c r="T746" t="s">
        <v>74</v>
      </c>
      <c r="U746" t="s">
        <v>9695</v>
      </c>
      <c r="V746" t="s">
        <v>9696</v>
      </c>
      <c r="W746" t="s">
        <v>1928</v>
      </c>
      <c r="X746" t="s">
        <v>131</v>
      </c>
      <c r="Y746" t="s">
        <v>9697</v>
      </c>
      <c r="Z746" t="s">
        <v>9698</v>
      </c>
      <c r="AA746" t="s">
        <v>74</v>
      </c>
      <c r="AB746" t="s">
        <v>74</v>
      </c>
      <c r="AC746" t="s">
        <v>74</v>
      </c>
      <c r="AD746" t="s">
        <v>74</v>
      </c>
      <c r="AE746" t="s">
        <v>74</v>
      </c>
      <c r="AF746" t="s">
        <v>74</v>
      </c>
      <c r="AG746">
        <v>48</v>
      </c>
      <c r="AH746">
        <v>18</v>
      </c>
      <c r="AI746">
        <v>18</v>
      </c>
      <c r="AJ746">
        <v>0</v>
      </c>
      <c r="AK746">
        <v>2</v>
      </c>
      <c r="AL746" t="s">
        <v>230</v>
      </c>
      <c r="AM746" t="s">
        <v>231</v>
      </c>
      <c r="AN746" t="s">
        <v>232</v>
      </c>
      <c r="AO746" t="s">
        <v>465</v>
      </c>
      <c r="AP746" t="s">
        <v>466</v>
      </c>
      <c r="AQ746" t="s">
        <v>74</v>
      </c>
      <c r="AR746" t="s">
        <v>467</v>
      </c>
      <c r="AS746" t="s">
        <v>468</v>
      </c>
      <c r="AT746" t="s">
        <v>9676</v>
      </c>
      <c r="AU746">
        <v>1999</v>
      </c>
      <c r="AV746">
        <v>104</v>
      </c>
      <c r="AW746" t="s">
        <v>9689</v>
      </c>
      <c r="AX746" t="s">
        <v>74</v>
      </c>
      <c r="AY746" t="s">
        <v>74</v>
      </c>
      <c r="AZ746" t="s">
        <v>74</v>
      </c>
      <c r="BA746" t="s">
        <v>74</v>
      </c>
      <c r="BB746">
        <v>5031</v>
      </c>
      <c r="BC746">
        <v>5046</v>
      </c>
      <c r="BD746" t="s">
        <v>74</v>
      </c>
      <c r="BE746" t="s">
        <v>9699</v>
      </c>
      <c r="BF746" t="str">
        <f>HYPERLINK("http://dx.doi.org/10.1029/1998JB900073","http://dx.doi.org/10.1029/1998JB900073")</f>
        <v>http://dx.doi.org/10.1029/1998JB900073</v>
      </c>
      <c r="BG746" t="s">
        <v>74</v>
      </c>
      <c r="BH746" t="s">
        <v>74</v>
      </c>
      <c r="BI746">
        <v>16</v>
      </c>
      <c r="BJ746" t="s">
        <v>216</v>
      </c>
      <c r="BK746" t="s">
        <v>96</v>
      </c>
      <c r="BL746" t="s">
        <v>216</v>
      </c>
      <c r="BM746" t="s">
        <v>9691</v>
      </c>
      <c r="BN746" t="s">
        <v>74</v>
      </c>
      <c r="BO746" t="s">
        <v>74</v>
      </c>
      <c r="BP746" t="s">
        <v>74</v>
      </c>
      <c r="BQ746" t="s">
        <v>74</v>
      </c>
      <c r="BR746" t="s">
        <v>99</v>
      </c>
      <c r="BS746" t="s">
        <v>9700</v>
      </c>
      <c r="BT746" t="str">
        <f>HYPERLINK("https%3A%2F%2Fwww.webofscience.com%2Fwos%2Fwoscc%2Ffull-record%2FWOS:000079145800019","View Full Record in Web of Science")</f>
        <v>View Full Record in Web of Science</v>
      </c>
    </row>
    <row r="747" spans="1:72" x14ac:dyDescent="0.15">
      <c r="A747" t="s">
        <v>72</v>
      </c>
      <c r="B747" t="s">
        <v>9701</v>
      </c>
      <c r="C747" t="s">
        <v>74</v>
      </c>
      <c r="D747" t="s">
        <v>74</v>
      </c>
      <c r="E747" t="s">
        <v>74</v>
      </c>
      <c r="F747" t="s">
        <v>9701</v>
      </c>
      <c r="G747" t="s">
        <v>74</v>
      </c>
      <c r="H747" t="s">
        <v>74</v>
      </c>
      <c r="I747" t="s">
        <v>9702</v>
      </c>
      <c r="J747" t="s">
        <v>4039</v>
      </c>
      <c r="K747" t="s">
        <v>74</v>
      </c>
      <c r="L747" t="s">
        <v>74</v>
      </c>
      <c r="M747" t="s">
        <v>77</v>
      </c>
      <c r="N747" t="s">
        <v>78</v>
      </c>
      <c r="O747" t="s">
        <v>74</v>
      </c>
      <c r="P747" t="s">
        <v>74</v>
      </c>
      <c r="Q747" t="s">
        <v>74</v>
      </c>
      <c r="R747" t="s">
        <v>74</v>
      </c>
      <c r="S747" t="s">
        <v>74</v>
      </c>
      <c r="T747" t="s">
        <v>9703</v>
      </c>
      <c r="U747" t="s">
        <v>9704</v>
      </c>
      <c r="V747" t="s">
        <v>9705</v>
      </c>
      <c r="W747" t="s">
        <v>993</v>
      </c>
      <c r="X747" t="s">
        <v>994</v>
      </c>
      <c r="Y747" t="s">
        <v>9706</v>
      </c>
      <c r="Z747" t="s">
        <v>9707</v>
      </c>
      <c r="AA747" t="s">
        <v>7433</v>
      </c>
      <c r="AB747" t="s">
        <v>7434</v>
      </c>
      <c r="AC747" t="s">
        <v>74</v>
      </c>
      <c r="AD747" t="s">
        <v>74</v>
      </c>
      <c r="AE747" t="s">
        <v>74</v>
      </c>
      <c r="AF747" t="s">
        <v>74</v>
      </c>
      <c r="AG747">
        <v>54</v>
      </c>
      <c r="AH747">
        <v>18</v>
      </c>
      <c r="AI747">
        <v>18</v>
      </c>
      <c r="AJ747">
        <v>0</v>
      </c>
      <c r="AK747">
        <v>14</v>
      </c>
      <c r="AL747" t="s">
        <v>210</v>
      </c>
      <c r="AM747" t="s">
        <v>211</v>
      </c>
      <c r="AN747" t="s">
        <v>212</v>
      </c>
      <c r="AO747" t="s">
        <v>4049</v>
      </c>
      <c r="AP747" t="s">
        <v>74</v>
      </c>
      <c r="AQ747" t="s">
        <v>74</v>
      </c>
      <c r="AR747" t="s">
        <v>4051</v>
      </c>
      <c r="AS747" t="s">
        <v>4052</v>
      </c>
      <c r="AT747" t="s">
        <v>9676</v>
      </c>
      <c r="AU747">
        <v>1999</v>
      </c>
      <c r="AV747">
        <v>423</v>
      </c>
      <c r="AW747" t="s">
        <v>6240</v>
      </c>
      <c r="AX747" t="s">
        <v>74</v>
      </c>
      <c r="AY747" t="s">
        <v>74</v>
      </c>
      <c r="AZ747" t="s">
        <v>74</v>
      </c>
      <c r="BA747" t="s">
        <v>74</v>
      </c>
      <c r="BB747">
        <v>145</v>
      </c>
      <c r="BC747">
        <v>159</v>
      </c>
      <c r="BD747" t="s">
        <v>74</v>
      </c>
      <c r="BE747" t="s">
        <v>9708</v>
      </c>
      <c r="BF747" t="str">
        <f>HYPERLINK("http://dx.doi.org/10.1016/S0039-6028(98)00842-5","http://dx.doi.org/10.1016/S0039-6028(98)00842-5")</f>
        <v>http://dx.doi.org/10.1016/S0039-6028(98)00842-5</v>
      </c>
      <c r="BG747" t="s">
        <v>74</v>
      </c>
      <c r="BH747" t="s">
        <v>74</v>
      </c>
      <c r="BI747">
        <v>15</v>
      </c>
      <c r="BJ747" t="s">
        <v>4054</v>
      </c>
      <c r="BK747" t="s">
        <v>96</v>
      </c>
      <c r="BL747" t="s">
        <v>373</v>
      </c>
      <c r="BM747" t="s">
        <v>9709</v>
      </c>
      <c r="BN747" t="s">
        <v>74</v>
      </c>
      <c r="BO747" t="s">
        <v>74</v>
      </c>
      <c r="BP747" t="s">
        <v>74</v>
      </c>
      <c r="BQ747" t="s">
        <v>74</v>
      </c>
      <c r="BR747" t="s">
        <v>99</v>
      </c>
      <c r="BS747" t="s">
        <v>9710</v>
      </c>
      <c r="BT747" t="str">
        <f>HYPERLINK("https%3A%2F%2Fwww.webofscience.com%2Fwos%2Fwoscc%2Ffull-record%2FWOS:000079431400009","View Full Record in Web of Science")</f>
        <v>View Full Record in Web of Science</v>
      </c>
    </row>
    <row r="748" spans="1:72" x14ac:dyDescent="0.15">
      <c r="A748" t="s">
        <v>72</v>
      </c>
      <c r="B748" t="s">
        <v>9711</v>
      </c>
      <c r="C748" t="s">
        <v>74</v>
      </c>
      <c r="D748" t="s">
        <v>74</v>
      </c>
      <c r="E748" t="s">
        <v>74</v>
      </c>
      <c r="F748" t="s">
        <v>9711</v>
      </c>
      <c r="G748" t="s">
        <v>74</v>
      </c>
      <c r="H748" t="s">
        <v>74</v>
      </c>
      <c r="I748" t="s">
        <v>9712</v>
      </c>
      <c r="J748" t="s">
        <v>2692</v>
      </c>
      <c r="K748" t="s">
        <v>74</v>
      </c>
      <c r="L748" t="s">
        <v>74</v>
      </c>
      <c r="M748" t="s">
        <v>77</v>
      </c>
      <c r="N748" t="s">
        <v>78</v>
      </c>
      <c r="O748" t="s">
        <v>74</v>
      </c>
      <c r="P748" t="s">
        <v>74</v>
      </c>
      <c r="Q748" t="s">
        <v>74</v>
      </c>
      <c r="R748" t="s">
        <v>74</v>
      </c>
      <c r="S748" t="s">
        <v>74</v>
      </c>
      <c r="T748" t="s">
        <v>74</v>
      </c>
      <c r="U748" t="s">
        <v>9713</v>
      </c>
      <c r="V748" t="s">
        <v>9714</v>
      </c>
      <c r="W748" t="s">
        <v>9715</v>
      </c>
      <c r="X748" t="s">
        <v>9716</v>
      </c>
      <c r="Y748" t="s">
        <v>9717</v>
      </c>
      <c r="Z748" t="s">
        <v>74</v>
      </c>
      <c r="AA748" t="s">
        <v>74</v>
      </c>
      <c r="AB748" t="s">
        <v>74</v>
      </c>
      <c r="AC748" t="s">
        <v>74</v>
      </c>
      <c r="AD748" t="s">
        <v>74</v>
      </c>
      <c r="AE748" t="s">
        <v>74</v>
      </c>
      <c r="AF748" t="s">
        <v>74</v>
      </c>
      <c r="AG748">
        <v>27</v>
      </c>
      <c r="AH748">
        <v>165</v>
      </c>
      <c r="AI748">
        <v>184</v>
      </c>
      <c r="AJ748">
        <v>0</v>
      </c>
      <c r="AK748">
        <v>16</v>
      </c>
      <c r="AL748" t="s">
        <v>2693</v>
      </c>
      <c r="AM748" t="s">
        <v>531</v>
      </c>
      <c r="AN748" t="s">
        <v>2694</v>
      </c>
      <c r="AO748" t="s">
        <v>2695</v>
      </c>
      <c r="AP748" t="s">
        <v>74</v>
      </c>
      <c r="AQ748" t="s">
        <v>74</v>
      </c>
      <c r="AR748" t="s">
        <v>2692</v>
      </c>
      <c r="AS748" t="s">
        <v>2696</v>
      </c>
      <c r="AT748" t="s">
        <v>9718</v>
      </c>
      <c r="AU748">
        <v>1999</v>
      </c>
      <c r="AV748">
        <v>398</v>
      </c>
      <c r="AW748">
        <v>6722</v>
      </c>
      <c r="AX748" t="s">
        <v>74</v>
      </c>
      <c r="AY748" t="s">
        <v>74</v>
      </c>
      <c r="AZ748" t="s">
        <v>74</v>
      </c>
      <c r="BA748" t="s">
        <v>74</v>
      </c>
      <c r="BB748">
        <v>64</v>
      </c>
      <c r="BC748">
        <v>67</v>
      </c>
      <c r="BD748" t="s">
        <v>74</v>
      </c>
      <c r="BE748" t="s">
        <v>9719</v>
      </c>
      <c r="BF748" t="str">
        <f>HYPERLINK("http://dx.doi.org/10.1038/18014","http://dx.doi.org/10.1038/18014")</f>
        <v>http://dx.doi.org/10.1038/18014</v>
      </c>
      <c r="BG748" t="s">
        <v>74</v>
      </c>
      <c r="BH748" t="s">
        <v>74</v>
      </c>
      <c r="BI748">
        <v>4</v>
      </c>
      <c r="BJ748" t="s">
        <v>303</v>
      </c>
      <c r="BK748" t="s">
        <v>96</v>
      </c>
      <c r="BL748" t="s">
        <v>304</v>
      </c>
      <c r="BM748" t="s">
        <v>9720</v>
      </c>
      <c r="BN748" t="s">
        <v>74</v>
      </c>
      <c r="BO748" t="s">
        <v>74</v>
      </c>
      <c r="BP748" t="s">
        <v>74</v>
      </c>
      <c r="BQ748" t="s">
        <v>74</v>
      </c>
      <c r="BR748" t="s">
        <v>99</v>
      </c>
      <c r="BS748" t="s">
        <v>9721</v>
      </c>
      <c r="BT748" t="str">
        <f>HYPERLINK("https%3A%2F%2Fwww.webofscience.com%2Fwos%2Fwoscc%2Ffull-record%2FWOS:000079033900051","View Full Record in Web of Science")</f>
        <v>View Full Record in Web of Science</v>
      </c>
    </row>
    <row r="749" spans="1:72" x14ac:dyDescent="0.15">
      <c r="A749" t="s">
        <v>72</v>
      </c>
      <c r="B749" t="s">
        <v>9722</v>
      </c>
      <c r="C749" t="s">
        <v>74</v>
      </c>
      <c r="D749" t="s">
        <v>74</v>
      </c>
      <c r="E749" t="s">
        <v>74</v>
      </c>
      <c r="F749" t="s">
        <v>9722</v>
      </c>
      <c r="G749" t="s">
        <v>74</v>
      </c>
      <c r="H749" t="s">
        <v>74</v>
      </c>
      <c r="I749" t="s">
        <v>9723</v>
      </c>
      <c r="J749" t="s">
        <v>9724</v>
      </c>
      <c r="K749" t="s">
        <v>74</v>
      </c>
      <c r="L749" t="s">
        <v>74</v>
      </c>
      <c r="M749" t="s">
        <v>77</v>
      </c>
      <c r="N749" t="s">
        <v>78</v>
      </c>
      <c r="O749" t="s">
        <v>74</v>
      </c>
      <c r="P749" t="s">
        <v>74</v>
      </c>
      <c r="Q749" t="s">
        <v>74</v>
      </c>
      <c r="R749" t="s">
        <v>74</v>
      </c>
      <c r="S749" t="s">
        <v>74</v>
      </c>
      <c r="T749" t="s">
        <v>9725</v>
      </c>
      <c r="U749" t="s">
        <v>9726</v>
      </c>
      <c r="V749" t="s">
        <v>9727</v>
      </c>
      <c r="W749" t="s">
        <v>9728</v>
      </c>
      <c r="X749" t="s">
        <v>9729</v>
      </c>
      <c r="Y749" t="s">
        <v>9730</v>
      </c>
      <c r="Z749" t="s">
        <v>74</v>
      </c>
      <c r="AA749" t="s">
        <v>9731</v>
      </c>
      <c r="AB749" t="s">
        <v>74</v>
      </c>
      <c r="AC749" t="s">
        <v>74</v>
      </c>
      <c r="AD749" t="s">
        <v>74</v>
      </c>
      <c r="AE749" t="s">
        <v>74</v>
      </c>
      <c r="AF749" t="s">
        <v>74</v>
      </c>
      <c r="AG749">
        <v>57</v>
      </c>
      <c r="AH749">
        <v>61</v>
      </c>
      <c r="AI749">
        <v>65</v>
      </c>
      <c r="AJ749">
        <v>0</v>
      </c>
      <c r="AK749">
        <v>8</v>
      </c>
      <c r="AL749" t="s">
        <v>1861</v>
      </c>
      <c r="AM749" t="s">
        <v>1290</v>
      </c>
      <c r="AN749" t="s">
        <v>1862</v>
      </c>
      <c r="AO749" t="s">
        <v>9732</v>
      </c>
      <c r="AP749" t="s">
        <v>74</v>
      </c>
      <c r="AQ749" t="s">
        <v>74</v>
      </c>
      <c r="AR749" t="s">
        <v>9733</v>
      </c>
      <c r="AS749" t="s">
        <v>9734</v>
      </c>
      <c r="AT749" t="s">
        <v>9735</v>
      </c>
      <c r="AU749">
        <v>1999</v>
      </c>
      <c r="AV749">
        <v>276</v>
      </c>
      <c r="AW749">
        <v>3</v>
      </c>
      <c r="AX749" t="s">
        <v>74</v>
      </c>
      <c r="AY749" t="s">
        <v>74</v>
      </c>
      <c r="AZ749" t="s">
        <v>74</v>
      </c>
      <c r="BA749" t="s">
        <v>74</v>
      </c>
      <c r="BB749" t="s">
        <v>9736</v>
      </c>
      <c r="BC749" t="s">
        <v>9737</v>
      </c>
      <c r="BD749" t="s">
        <v>74</v>
      </c>
      <c r="BE749" t="s">
        <v>9738</v>
      </c>
      <c r="BF749" t="str">
        <f>HYPERLINK("http://dx.doi.org/10.1152/ajpheart.1999.276.3.H844","http://dx.doi.org/10.1152/ajpheart.1999.276.3.H844")</f>
        <v>http://dx.doi.org/10.1152/ajpheart.1999.276.3.H844</v>
      </c>
      <c r="BG749" t="s">
        <v>74</v>
      </c>
      <c r="BH749" t="s">
        <v>74</v>
      </c>
      <c r="BI749">
        <v>14</v>
      </c>
      <c r="BJ749" t="s">
        <v>9739</v>
      </c>
      <c r="BK749" t="s">
        <v>96</v>
      </c>
      <c r="BL749" t="s">
        <v>9740</v>
      </c>
      <c r="BM749" t="s">
        <v>9741</v>
      </c>
      <c r="BN749" t="s">
        <v>74</v>
      </c>
      <c r="BO749" t="s">
        <v>74</v>
      </c>
      <c r="BP749" t="s">
        <v>74</v>
      </c>
      <c r="BQ749" t="s">
        <v>74</v>
      </c>
      <c r="BR749" t="s">
        <v>99</v>
      </c>
      <c r="BS749" t="s">
        <v>9742</v>
      </c>
      <c r="BT749" t="str">
        <f>HYPERLINK("https%3A%2F%2Fwww.webofscience.com%2Fwos%2Fwoscc%2Ffull-record%2FWOS:000078904900009","View Full Record in Web of Science")</f>
        <v>View Full Record in Web of Science</v>
      </c>
    </row>
    <row r="750" spans="1:72" x14ac:dyDescent="0.15">
      <c r="A750" t="s">
        <v>72</v>
      </c>
      <c r="B750" t="s">
        <v>1872</v>
      </c>
      <c r="C750" t="s">
        <v>74</v>
      </c>
      <c r="D750" t="s">
        <v>74</v>
      </c>
      <c r="E750" t="s">
        <v>74</v>
      </c>
      <c r="F750" t="s">
        <v>1872</v>
      </c>
      <c r="G750" t="s">
        <v>74</v>
      </c>
      <c r="H750" t="s">
        <v>74</v>
      </c>
      <c r="I750" t="s">
        <v>9743</v>
      </c>
      <c r="J750" t="s">
        <v>1874</v>
      </c>
      <c r="K750" t="s">
        <v>74</v>
      </c>
      <c r="L750" t="s">
        <v>74</v>
      </c>
      <c r="M750" t="s">
        <v>77</v>
      </c>
      <c r="N750" t="s">
        <v>78</v>
      </c>
      <c r="O750" t="s">
        <v>74</v>
      </c>
      <c r="P750" t="s">
        <v>74</v>
      </c>
      <c r="Q750" t="s">
        <v>74</v>
      </c>
      <c r="R750" t="s">
        <v>74</v>
      </c>
      <c r="S750" t="s">
        <v>74</v>
      </c>
      <c r="T750" t="s">
        <v>9744</v>
      </c>
      <c r="U750" t="s">
        <v>9745</v>
      </c>
      <c r="V750" t="s">
        <v>9746</v>
      </c>
      <c r="W750" t="s">
        <v>1878</v>
      </c>
      <c r="X750" t="s">
        <v>1879</v>
      </c>
      <c r="Y750" t="s">
        <v>1880</v>
      </c>
      <c r="Z750" t="s">
        <v>1881</v>
      </c>
      <c r="AA750" t="s">
        <v>1882</v>
      </c>
      <c r="AB750" t="s">
        <v>1883</v>
      </c>
      <c r="AC750" t="s">
        <v>74</v>
      </c>
      <c r="AD750" t="s">
        <v>74</v>
      </c>
      <c r="AE750" t="s">
        <v>74</v>
      </c>
      <c r="AF750" t="s">
        <v>74</v>
      </c>
      <c r="AG750">
        <v>44</v>
      </c>
      <c r="AH750">
        <v>34</v>
      </c>
      <c r="AI750">
        <v>36</v>
      </c>
      <c r="AJ750">
        <v>0</v>
      </c>
      <c r="AK750">
        <v>7</v>
      </c>
      <c r="AL750" t="s">
        <v>1884</v>
      </c>
      <c r="AM750" t="s">
        <v>554</v>
      </c>
      <c r="AN750" t="s">
        <v>1885</v>
      </c>
      <c r="AO750" t="s">
        <v>1886</v>
      </c>
      <c r="AP750" t="s">
        <v>74</v>
      </c>
      <c r="AQ750" t="s">
        <v>74</v>
      </c>
      <c r="AR750" t="s">
        <v>1887</v>
      </c>
      <c r="AS750" t="s">
        <v>1888</v>
      </c>
      <c r="AT750" t="s">
        <v>9747</v>
      </c>
      <c r="AU750">
        <v>1999</v>
      </c>
      <c r="AV750">
        <v>254</v>
      </c>
      <c r="AW750">
        <v>3</v>
      </c>
      <c r="AX750" t="s">
        <v>74</v>
      </c>
      <c r="AY750" t="s">
        <v>74</v>
      </c>
      <c r="AZ750" t="s">
        <v>74</v>
      </c>
      <c r="BA750" t="s">
        <v>74</v>
      </c>
      <c r="BB750">
        <v>396</v>
      </c>
      <c r="BC750">
        <v>407</v>
      </c>
      <c r="BD750" t="s">
        <v>74</v>
      </c>
      <c r="BE750" t="s">
        <v>9748</v>
      </c>
      <c r="BF750" t="str">
        <f>HYPERLINK("http://dx.doi.org/10.1002/(SICI)1097-0185(19990301)254:3&lt;396::AID-AR11&gt;3.0.CO;2-J","http://dx.doi.org/10.1002/(SICI)1097-0185(19990301)254:3&lt;396::AID-AR11&gt;3.0.CO;2-J")</f>
        <v>http://dx.doi.org/10.1002/(SICI)1097-0185(19990301)254:3&lt;396::AID-AR11&gt;3.0.CO;2-J</v>
      </c>
      <c r="BG750" t="s">
        <v>74</v>
      </c>
      <c r="BH750" t="s">
        <v>74</v>
      </c>
      <c r="BI750">
        <v>12</v>
      </c>
      <c r="BJ750" t="s">
        <v>1891</v>
      </c>
      <c r="BK750" t="s">
        <v>96</v>
      </c>
      <c r="BL750" t="s">
        <v>1891</v>
      </c>
      <c r="BM750" t="s">
        <v>9749</v>
      </c>
      <c r="BN750">
        <v>10096672</v>
      </c>
      <c r="BO750" t="s">
        <v>74</v>
      </c>
      <c r="BP750" t="s">
        <v>74</v>
      </c>
      <c r="BQ750" t="s">
        <v>74</v>
      </c>
      <c r="BR750" t="s">
        <v>99</v>
      </c>
      <c r="BS750" t="s">
        <v>9750</v>
      </c>
      <c r="BT750" t="str">
        <f>HYPERLINK("https%3A%2F%2Fwww.webofscience.com%2Fwos%2Fwoscc%2Ffull-record%2FWOS:000078962900011","View Full Record in Web of Science")</f>
        <v>View Full Record in Web of Science</v>
      </c>
    </row>
    <row r="751" spans="1:72" x14ac:dyDescent="0.15">
      <c r="A751" t="s">
        <v>72</v>
      </c>
      <c r="B751" t="s">
        <v>9751</v>
      </c>
      <c r="C751" t="s">
        <v>74</v>
      </c>
      <c r="D751" t="s">
        <v>74</v>
      </c>
      <c r="E751" t="s">
        <v>74</v>
      </c>
      <c r="F751" t="s">
        <v>9751</v>
      </c>
      <c r="G751" t="s">
        <v>74</v>
      </c>
      <c r="H751" t="s">
        <v>74</v>
      </c>
      <c r="I751" t="s">
        <v>9752</v>
      </c>
      <c r="J751" t="s">
        <v>2978</v>
      </c>
      <c r="K751" t="s">
        <v>74</v>
      </c>
      <c r="L751" t="s">
        <v>74</v>
      </c>
      <c r="M751" t="s">
        <v>77</v>
      </c>
      <c r="N751" t="s">
        <v>205</v>
      </c>
      <c r="O751" t="s">
        <v>74</v>
      </c>
      <c r="P751" t="s">
        <v>74</v>
      </c>
      <c r="Q751" t="s">
        <v>74</v>
      </c>
      <c r="R751" t="s">
        <v>74</v>
      </c>
      <c r="S751" t="s">
        <v>74</v>
      </c>
      <c r="T751" t="s">
        <v>74</v>
      </c>
      <c r="U751" t="s">
        <v>74</v>
      </c>
      <c r="V751" t="s">
        <v>74</v>
      </c>
      <c r="W751" t="s">
        <v>1928</v>
      </c>
      <c r="X751" t="s">
        <v>131</v>
      </c>
      <c r="Y751" t="s">
        <v>9753</v>
      </c>
      <c r="Z751" t="s">
        <v>74</v>
      </c>
      <c r="AA751" t="s">
        <v>74</v>
      </c>
      <c r="AB751" t="s">
        <v>74</v>
      </c>
      <c r="AC751" t="s">
        <v>74</v>
      </c>
      <c r="AD751" t="s">
        <v>74</v>
      </c>
      <c r="AE751" t="s">
        <v>74</v>
      </c>
      <c r="AF751" t="s">
        <v>74</v>
      </c>
      <c r="AG751">
        <v>0</v>
      </c>
      <c r="AH751">
        <v>0</v>
      </c>
      <c r="AI751">
        <v>0</v>
      </c>
      <c r="AJ751">
        <v>0</v>
      </c>
      <c r="AK751">
        <v>0</v>
      </c>
      <c r="AL751" t="s">
        <v>2057</v>
      </c>
      <c r="AM751" t="s">
        <v>554</v>
      </c>
      <c r="AN751" t="s">
        <v>2058</v>
      </c>
      <c r="AO751" t="s">
        <v>2979</v>
      </c>
      <c r="AP751" t="s">
        <v>74</v>
      </c>
      <c r="AQ751" t="s">
        <v>74</v>
      </c>
      <c r="AR751" t="s">
        <v>2980</v>
      </c>
      <c r="AS751" t="s">
        <v>2981</v>
      </c>
      <c r="AT751" t="s">
        <v>9735</v>
      </c>
      <c r="AU751">
        <v>1999</v>
      </c>
      <c r="AV751">
        <v>11</v>
      </c>
      <c r="AW751">
        <v>1</v>
      </c>
      <c r="AX751" t="s">
        <v>74</v>
      </c>
      <c r="AY751" t="s">
        <v>74</v>
      </c>
      <c r="AZ751" t="s">
        <v>74</v>
      </c>
      <c r="BA751" t="s">
        <v>74</v>
      </c>
      <c r="BB751">
        <v>1</v>
      </c>
      <c r="BC751">
        <v>1</v>
      </c>
      <c r="BD751" t="s">
        <v>74</v>
      </c>
      <c r="BE751" t="s">
        <v>74</v>
      </c>
      <c r="BF751" t="s">
        <v>74</v>
      </c>
      <c r="BG751" t="s">
        <v>74</v>
      </c>
      <c r="BH751" t="s">
        <v>74</v>
      </c>
      <c r="BI751">
        <v>1</v>
      </c>
      <c r="BJ751" t="s">
        <v>2984</v>
      </c>
      <c r="BK751" t="s">
        <v>96</v>
      </c>
      <c r="BL751" t="s">
        <v>2985</v>
      </c>
      <c r="BM751" t="s">
        <v>9754</v>
      </c>
      <c r="BN751" t="s">
        <v>74</v>
      </c>
      <c r="BO751" t="s">
        <v>74</v>
      </c>
      <c r="BP751" t="s">
        <v>74</v>
      </c>
      <c r="BQ751" t="s">
        <v>74</v>
      </c>
      <c r="BR751" t="s">
        <v>99</v>
      </c>
      <c r="BS751" t="s">
        <v>9755</v>
      </c>
      <c r="BT751" t="str">
        <f>HYPERLINK("https%3A%2F%2Fwww.webofscience.com%2Fwos%2Fwoscc%2Ffull-record%2FWOS:000084414000001","View Full Record in Web of Science")</f>
        <v>View Full Record in Web of Science</v>
      </c>
    </row>
    <row r="752" spans="1:72" x14ac:dyDescent="0.15">
      <c r="A752" t="s">
        <v>72</v>
      </c>
      <c r="B752" t="s">
        <v>9756</v>
      </c>
      <c r="C752" t="s">
        <v>74</v>
      </c>
      <c r="D752" t="s">
        <v>74</v>
      </c>
      <c r="E752" t="s">
        <v>74</v>
      </c>
      <c r="F752" t="s">
        <v>9756</v>
      </c>
      <c r="G752" t="s">
        <v>74</v>
      </c>
      <c r="H752" t="s">
        <v>74</v>
      </c>
      <c r="I752" t="s">
        <v>9757</v>
      </c>
      <c r="J752" t="s">
        <v>2978</v>
      </c>
      <c r="K752" t="s">
        <v>74</v>
      </c>
      <c r="L752" t="s">
        <v>74</v>
      </c>
      <c r="M752" t="s">
        <v>77</v>
      </c>
      <c r="N752" t="s">
        <v>78</v>
      </c>
      <c r="O752" t="s">
        <v>74</v>
      </c>
      <c r="P752" t="s">
        <v>74</v>
      </c>
      <c r="Q752" t="s">
        <v>74</v>
      </c>
      <c r="R752" t="s">
        <v>74</v>
      </c>
      <c r="S752" t="s">
        <v>74</v>
      </c>
      <c r="T752" t="s">
        <v>9758</v>
      </c>
      <c r="U752" t="s">
        <v>9759</v>
      </c>
      <c r="V752" t="s">
        <v>9760</v>
      </c>
      <c r="W752" t="s">
        <v>9761</v>
      </c>
      <c r="X752" t="s">
        <v>9762</v>
      </c>
      <c r="Y752" t="s">
        <v>9763</v>
      </c>
      <c r="Z752" t="s">
        <v>74</v>
      </c>
      <c r="AA752" t="s">
        <v>9764</v>
      </c>
      <c r="AB752" t="s">
        <v>9765</v>
      </c>
      <c r="AC752" t="s">
        <v>74</v>
      </c>
      <c r="AD752" t="s">
        <v>74</v>
      </c>
      <c r="AE752" t="s">
        <v>74</v>
      </c>
      <c r="AF752" t="s">
        <v>74</v>
      </c>
      <c r="AG752">
        <v>39</v>
      </c>
      <c r="AH752">
        <v>34</v>
      </c>
      <c r="AI752">
        <v>35</v>
      </c>
      <c r="AJ752">
        <v>0</v>
      </c>
      <c r="AK752">
        <v>13</v>
      </c>
      <c r="AL752" t="s">
        <v>2057</v>
      </c>
      <c r="AM752" t="s">
        <v>554</v>
      </c>
      <c r="AN752" t="s">
        <v>2058</v>
      </c>
      <c r="AO752" t="s">
        <v>2979</v>
      </c>
      <c r="AP752" t="s">
        <v>74</v>
      </c>
      <c r="AQ752" t="s">
        <v>74</v>
      </c>
      <c r="AR752" t="s">
        <v>2980</v>
      </c>
      <c r="AS752" t="s">
        <v>2981</v>
      </c>
      <c r="AT752" t="s">
        <v>9735</v>
      </c>
      <c r="AU752">
        <v>1999</v>
      </c>
      <c r="AV752">
        <v>11</v>
      </c>
      <c r="AW752">
        <v>1</v>
      </c>
      <c r="AX752" t="s">
        <v>74</v>
      </c>
      <c r="AY752" t="s">
        <v>74</v>
      </c>
      <c r="AZ752" t="s">
        <v>74</v>
      </c>
      <c r="BA752" t="s">
        <v>74</v>
      </c>
      <c r="BB752">
        <v>3</v>
      </c>
      <c r="BC752">
        <v>12</v>
      </c>
      <c r="BD752" t="s">
        <v>74</v>
      </c>
      <c r="BE752" t="s">
        <v>9766</v>
      </c>
      <c r="BF752" t="str">
        <f>HYPERLINK("http://dx.doi.org/10.1017/S0954102099000024","http://dx.doi.org/10.1017/S0954102099000024")</f>
        <v>http://dx.doi.org/10.1017/S0954102099000024</v>
      </c>
      <c r="BG752" t="s">
        <v>74</v>
      </c>
      <c r="BH752" t="s">
        <v>74</v>
      </c>
      <c r="BI752">
        <v>10</v>
      </c>
      <c r="BJ752" t="s">
        <v>2984</v>
      </c>
      <c r="BK752" t="s">
        <v>96</v>
      </c>
      <c r="BL752" t="s">
        <v>2985</v>
      </c>
      <c r="BM752" t="s">
        <v>9754</v>
      </c>
      <c r="BN752" t="s">
        <v>74</v>
      </c>
      <c r="BO752" t="s">
        <v>610</v>
      </c>
      <c r="BP752" t="s">
        <v>74</v>
      </c>
      <c r="BQ752" t="s">
        <v>74</v>
      </c>
      <c r="BR752" t="s">
        <v>99</v>
      </c>
      <c r="BS752" t="s">
        <v>9767</v>
      </c>
      <c r="BT752" t="str">
        <f>HYPERLINK("https%3A%2F%2Fwww.webofscience.com%2Fwos%2Fwoscc%2Ffull-record%2FWOS:000084414000002","View Full Record in Web of Science")</f>
        <v>View Full Record in Web of Science</v>
      </c>
    </row>
    <row r="753" spans="1:72" x14ac:dyDescent="0.15">
      <c r="A753" t="s">
        <v>72</v>
      </c>
      <c r="B753" t="s">
        <v>9768</v>
      </c>
      <c r="C753" t="s">
        <v>74</v>
      </c>
      <c r="D753" t="s">
        <v>74</v>
      </c>
      <c r="E753" t="s">
        <v>74</v>
      </c>
      <c r="F753" t="s">
        <v>9768</v>
      </c>
      <c r="G753" t="s">
        <v>74</v>
      </c>
      <c r="H753" t="s">
        <v>74</v>
      </c>
      <c r="I753" t="s">
        <v>9769</v>
      </c>
      <c r="J753" t="s">
        <v>2978</v>
      </c>
      <c r="K753" t="s">
        <v>74</v>
      </c>
      <c r="L753" t="s">
        <v>74</v>
      </c>
      <c r="M753" t="s">
        <v>77</v>
      </c>
      <c r="N753" t="s">
        <v>78</v>
      </c>
      <c r="O753" t="s">
        <v>74</v>
      </c>
      <c r="P753" t="s">
        <v>74</v>
      </c>
      <c r="Q753" t="s">
        <v>74</v>
      </c>
      <c r="R753" t="s">
        <v>74</v>
      </c>
      <c r="S753" t="s">
        <v>74</v>
      </c>
      <c r="T753" t="s">
        <v>9770</v>
      </c>
      <c r="U753" t="s">
        <v>9771</v>
      </c>
      <c r="V753" t="s">
        <v>9772</v>
      </c>
      <c r="W753" t="s">
        <v>9773</v>
      </c>
      <c r="X753" t="s">
        <v>9774</v>
      </c>
      <c r="Y753" t="s">
        <v>3016</v>
      </c>
      <c r="Z753" t="s">
        <v>74</v>
      </c>
      <c r="AA753" t="s">
        <v>9775</v>
      </c>
      <c r="AB753" t="s">
        <v>9776</v>
      </c>
      <c r="AC753" t="s">
        <v>74</v>
      </c>
      <c r="AD753" t="s">
        <v>74</v>
      </c>
      <c r="AE753" t="s">
        <v>74</v>
      </c>
      <c r="AF753" t="s">
        <v>74</v>
      </c>
      <c r="AG753">
        <v>27</v>
      </c>
      <c r="AH753">
        <v>22</v>
      </c>
      <c r="AI753">
        <v>24</v>
      </c>
      <c r="AJ753">
        <v>1</v>
      </c>
      <c r="AK753">
        <v>4</v>
      </c>
      <c r="AL753" t="s">
        <v>2057</v>
      </c>
      <c r="AM753" t="s">
        <v>554</v>
      </c>
      <c r="AN753" t="s">
        <v>2058</v>
      </c>
      <c r="AO753" t="s">
        <v>2979</v>
      </c>
      <c r="AP753" t="s">
        <v>74</v>
      </c>
      <c r="AQ753" t="s">
        <v>74</v>
      </c>
      <c r="AR753" t="s">
        <v>2980</v>
      </c>
      <c r="AS753" t="s">
        <v>2981</v>
      </c>
      <c r="AT753" t="s">
        <v>9735</v>
      </c>
      <c r="AU753">
        <v>1999</v>
      </c>
      <c r="AV753">
        <v>11</v>
      </c>
      <c r="AW753">
        <v>1</v>
      </c>
      <c r="AX753" t="s">
        <v>74</v>
      </c>
      <c r="AY753" t="s">
        <v>74</v>
      </c>
      <c r="AZ753" t="s">
        <v>74</v>
      </c>
      <c r="BA753" t="s">
        <v>74</v>
      </c>
      <c r="BB753">
        <v>13</v>
      </c>
      <c r="BC753">
        <v>22</v>
      </c>
      <c r="BD753" t="s">
        <v>74</v>
      </c>
      <c r="BE753" t="s">
        <v>9777</v>
      </c>
      <c r="BF753" t="str">
        <f>HYPERLINK("http://dx.doi.org/10.1017/S0954102099000036","http://dx.doi.org/10.1017/S0954102099000036")</f>
        <v>http://dx.doi.org/10.1017/S0954102099000036</v>
      </c>
      <c r="BG753" t="s">
        <v>74</v>
      </c>
      <c r="BH753" t="s">
        <v>74</v>
      </c>
      <c r="BI753">
        <v>10</v>
      </c>
      <c r="BJ753" t="s">
        <v>2984</v>
      </c>
      <c r="BK753" t="s">
        <v>96</v>
      </c>
      <c r="BL753" t="s">
        <v>2985</v>
      </c>
      <c r="BM753" t="s">
        <v>9754</v>
      </c>
      <c r="BN753" t="s">
        <v>74</v>
      </c>
      <c r="BO753" t="s">
        <v>74</v>
      </c>
      <c r="BP753" t="s">
        <v>74</v>
      </c>
      <c r="BQ753" t="s">
        <v>74</v>
      </c>
      <c r="BR753" t="s">
        <v>99</v>
      </c>
      <c r="BS753" t="s">
        <v>9778</v>
      </c>
      <c r="BT753" t="str">
        <f>HYPERLINK("https%3A%2F%2Fwww.webofscience.com%2Fwos%2Fwoscc%2Ffull-record%2FWOS:000084414000003","View Full Record in Web of Science")</f>
        <v>View Full Record in Web of Science</v>
      </c>
    </row>
    <row r="754" spans="1:72" x14ac:dyDescent="0.15">
      <c r="A754" t="s">
        <v>72</v>
      </c>
      <c r="B754" t="s">
        <v>9779</v>
      </c>
      <c r="C754" t="s">
        <v>74</v>
      </c>
      <c r="D754" t="s">
        <v>74</v>
      </c>
      <c r="E754" t="s">
        <v>74</v>
      </c>
      <c r="F754" t="s">
        <v>9779</v>
      </c>
      <c r="G754" t="s">
        <v>74</v>
      </c>
      <c r="H754" t="s">
        <v>74</v>
      </c>
      <c r="I754" t="s">
        <v>9780</v>
      </c>
      <c r="J754" t="s">
        <v>2978</v>
      </c>
      <c r="K754" t="s">
        <v>74</v>
      </c>
      <c r="L754" t="s">
        <v>74</v>
      </c>
      <c r="M754" t="s">
        <v>77</v>
      </c>
      <c r="N754" t="s">
        <v>78</v>
      </c>
      <c r="O754" t="s">
        <v>74</v>
      </c>
      <c r="P754" t="s">
        <v>74</v>
      </c>
      <c r="Q754" t="s">
        <v>74</v>
      </c>
      <c r="R754" t="s">
        <v>74</v>
      </c>
      <c r="S754" t="s">
        <v>74</v>
      </c>
      <c r="T754" t="s">
        <v>9781</v>
      </c>
      <c r="U754" t="s">
        <v>9782</v>
      </c>
      <c r="V754" t="s">
        <v>9783</v>
      </c>
      <c r="W754" t="s">
        <v>9784</v>
      </c>
      <c r="X754" t="s">
        <v>9785</v>
      </c>
      <c r="Y754" t="s">
        <v>9786</v>
      </c>
      <c r="Z754" t="s">
        <v>74</v>
      </c>
      <c r="AA754" t="s">
        <v>9787</v>
      </c>
      <c r="AB754" t="s">
        <v>9788</v>
      </c>
      <c r="AC754" t="s">
        <v>74</v>
      </c>
      <c r="AD754" t="s">
        <v>74</v>
      </c>
      <c r="AE754" t="s">
        <v>74</v>
      </c>
      <c r="AF754" t="s">
        <v>74</v>
      </c>
      <c r="AG754">
        <v>19</v>
      </c>
      <c r="AH754">
        <v>27</v>
      </c>
      <c r="AI754">
        <v>31</v>
      </c>
      <c r="AJ754">
        <v>0</v>
      </c>
      <c r="AK754">
        <v>10</v>
      </c>
      <c r="AL754" t="s">
        <v>2057</v>
      </c>
      <c r="AM754" t="s">
        <v>554</v>
      </c>
      <c r="AN754" t="s">
        <v>2058</v>
      </c>
      <c r="AO754" t="s">
        <v>2979</v>
      </c>
      <c r="AP754" t="s">
        <v>74</v>
      </c>
      <c r="AQ754" t="s">
        <v>74</v>
      </c>
      <c r="AR754" t="s">
        <v>2980</v>
      </c>
      <c r="AS754" t="s">
        <v>2981</v>
      </c>
      <c r="AT754" t="s">
        <v>9735</v>
      </c>
      <c r="AU754">
        <v>1999</v>
      </c>
      <c r="AV754">
        <v>11</v>
      </c>
      <c r="AW754">
        <v>1</v>
      </c>
      <c r="AX754" t="s">
        <v>74</v>
      </c>
      <c r="AY754" t="s">
        <v>74</v>
      </c>
      <c r="AZ754" t="s">
        <v>74</v>
      </c>
      <c r="BA754" t="s">
        <v>74</v>
      </c>
      <c r="BB754">
        <v>23</v>
      </c>
      <c r="BC754">
        <v>26</v>
      </c>
      <c r="BD754" t="s">
        <v>74</v>
      </c>
      <c r="BE754" t="s">
        <v>9789</v>
      </c>
      <c r="BF754" t="str">
        <f>HYPERLINK("http://dx.doi.org/10.1017/S0954102099000048","http://dx.doi.org/10.1017/S0954102099000048")</f>
        <v>http://dx.doi.org/10.1017/S0954102099000048</v>
      </c>
      <c r="BG754" t="s">
        <v>74</v>
      </c>
      <c r="BH754" t="s">
        <v>74</v>
      </c>
      <c r="BI754">
        <v>4</v>
      </c>
      <c r="BJ754" t="s">
        <v>2984</v>
      </c>
      <c r="BK754" t="s">
        <v>96</v>
      </c>
      <c r="BL754" t="s">
        <v>2985</v>
      </c>
      <c r="BM754" t="s">
        <v>9754</v>
      </c>
      <c r="BN754" t="s">
        <v>74</v>
      </c>
      <c r="BO754" t="s">
        <v>74</v>
      </c>
      <c r="BP754" t="s">
        <v>74</v>
      </c>
      <c r="BQ754" t="s">
        <v>74</v>
      </c>
      <c r="BR754" t="s">
        <v>99</v>
      </c>
      <c r="BS754" t="s">
        <v>9790</v>
      </c>
      <c r="BT754" t="str">
        <f>HYPERLINK("https%3A%2F%2Fwww.webofscience.com%2Fwos%2Fwoscc%2Ffull-record%2FWOS:000084414000004","View Full Record in Web of Science")</f>
        <v>View Full Record in Web of Science</v>
      </c>
    </row>
    <row r="755" spans="1:72" x14ac:dyDescent="0.15">
      <c r="A755" t="s">
        <v>72</v>
      </c>
      <c r="B755" t="s">
        <v>4168</v>
      </c>
      <c r="C755" t="s">
        <v>74</v>
      </c>
      <c r="D755" t="s">
        <v>74</v>
      </c>
      <c r="E755" t="s">
        <v>74</v>
      </c>
      <c r="F755" t="s">
        <v>4168</v>
      </c>
      <c r="G755" t="s">
        <v>74</v>
      </c>
      <c r="H755" t="s">
        <v>74</v>
      </c>
      <c r="I755" t="s">
        <v>9791</v>
      </c>
      <c r="J755" t="s">
        <v>2978</v>
      </c>
      <c r="K755" t="s">
        <v>74</v>
      </c>
      <c r="L755" t="s">
        <v>74</v>
      </c>
      <c r="M755" t="s">
        <v>77</v>
      </c>
      <c r="N755" t="s">
        <v>78</v>
      </c>
      <c r="O755" t="s">
        <v>74</v>
      </c>
      <c r="P755" t="s">
        <v>74</v>
      </c>
      <c r="Q755" t="s">
        <v>74</v>
      </c>
      <c r="R755" t="s">
        <v>74</v>
      </c>
      <c r="S755" t="s">
        <v>74</v>
      </c>
      <c r="T755" t="s">
        <v>9792</v>
      </c>
      <c r="U755" t="s">
        <v>9793</v>
      </c>
      <c r="V755" t="s">
        <v>9794</v>
      </c>
      <c r="W755" t="s">
        <v>9795</v>
      </c>
      <c r="X755" t="s">
        <v>2279</v>
      </c>
      <c r="Y755" t="s">
        <v>9796</v>
      </c>
      <c r="Z755" t="s">
        <v>74</v>
      </c>
      <c r="AA755" t="s">
        <v>74</v>
      </c>
      <c r="AB755" t="s">
        <v>74</v>
      </c>
      <c r="AC755" t="s">
        <v>74</v>
      </c>
      <c r="AD755" t="s">
        <v>74</v>
      </c>
      <c r="AE755" t="s">
        <v>74</v>
      </c>
      <c r="AF755" t="s">
        <v>74</v>
      </c>
      <c r="AG755">
        <v>63</v>
      </c>
      <c r="AH755">
        <v>11</v>
      </c>
      <c r="AI755">
        <v>11</v>
      </c>
      <c r="AJ755">
        <v>0</v>
      </c>
      <c r="AK755">
        <v>4</v>
      </c>
      <c r="AL755" t="s">
        <v>2057</v>
      </c>
      <c r="AM755" t="s">
        <v>554</v>
      </c>
      <c r="AN755" t="s">
        <v>2058</v>
      </c>
      <c r="AO755" t="s">
        <v>2979</v>
      </c>
      <c r="AP755" t="s">
        <v>74</v>
      </c>
      <c r="AQ755" t="s">
        <v>74</v>
      </c>
      <c r="AR755" t="s">
        <v>2980</v>
      </c>
      <c r="AS755" t="s">
        <v>2981</v>
      </c>
      <c r="AT755" t="s">
        <v>9735</v>
      </c>
      <c r="AU755">
        <v>1999</v>
      </c>
      <c r="AV755">
        <v>11</v>
      </c>
      <c r="AW755">
        <v>1</v>
      </c>
      <c r="AX755" t="s">
        <v>74</v>
      </c>
      <c r="AY755" t="s">
        <v>74</v>
      </c>
      <c r="AZ755" t="s">
        <v>74</v>
      </c>
      <c r="BA755" t="s">
        <v>74</v>
      </c>
      <c r="BB755">
        <v>27</v>
      </c>
      <c r="BC755">
        <v>37</v>
      </c>
      <c r="BD755" t="s">
        <v>74</v>
      </c>
      <c r="BE755" t="s">
        <v>9797</v>
      </c>
      <c r="BF755" t="str">
        <f>HYPERLINK("http://dx.doi.org/10.1017/S095410209900005X","http://dx.doi.org/10.1017/S095410209900005X")</f>
        <v>http://dx.doi.org/10.1017/S095410209900005X</v>
      </c>
      <c r="BG755" t="s">
        <v>74</v>
      </c>
      <c r="BH755" t="s">
        <v>74</v>
      </c>
      <c r="BI755">
        <v>11</v>
      </c>
      <c r="BJ755" t="s">
        <v>2984</v>
      </c>
      <c r="BK755" t="s">
        <v>96</v>
      </c>
      <c r="BL755" t="s">
        <v>2985</v>
      </c>
      <c r="BM755" t="s">
        <v>9754</v>
      </c>
      <c r="BN755" t="s">
        <v>74</v>
      </c>
      <c r="BO755" t="s">
        <v>74</v>
      </c>
      <c r="BP755" t="s">
        <v>74</v>
      </c>
      <c r="BQ755" t="s">
        <v>74</v>
      </c>
      <c r="BR755" t="s">
        <v>99</v>
      </c>
      <c r="BS755" t="s">
        <v>9798</v>
      </c>
      <c r="BT755" t="str">
        <f>HYPERLINK("https%3A%2F%2Fwww.webofscience.com%2Fwos%2Fwoscc%2Ffull-record%2FWOS:000084414000005","View Full Record in Web of Science")</f>
        <v>View Full Record in Web of Science</v>
      </c>
    </row>
    <row r="756" spans="1:72" x14ac:dyDescent="0.15">
      <c r="A756" t="s">
        <v>72</v>
      </c>
      <c r="B756" t="s">
        <v>9799</v>
      </c>
      <c r="C756" t="s">
        <v>74</v>
      </c>
      <c r="D756" t="s">
        <v>74</v>
      </c>
      <c r="E756" t="s">
        <v>74</v>
      </c>
      <c r="F756" t="s">
        <v>9799</v>
      </c>
      <c r="G756" t="s">
        <v>74</v>
      </c>
      <c r="H756" t="s">
        <v>74</v>
      </c>
      <c r="I756" t="s">
        <v>9800</v>
      </c>
      <c r="J756" t="s">
        <v>2978</v>
      </c>
      <c r="K756" t="s">
        <v>74</v>
      </c>
      <c r="L756" t="s">
        <v>74</v>
      </c>
      <c r="M756" t="s">
        <v>77</v>
      </c>
      <c r="N756" t="s">
        <v>78</v>
      </c>
      <c r="O756" t="s">
        <v>74</v>
      </c>
      <c r="P756" t="s">
        <v>74</v>
      </c>
      <c r="Q756" t="s">
        <v>74</v>
      </c>
      <c r="R756" t="s">
        <v>74</v>
      </c>
      <c r="S756" t="s">
        <v>74</v>
      </c>
      <c r="T756" t="s">
        <v>9801</v>
      </c>
      <c r="U756" t="s">
        <v>9802</v>
      </c>
      <c r="V756" t="s">
        <v>9803</v>
      </c>
      <c r="W756" t="s">
        <v>6526</v>
      </c>
      <c r="X756" t="s">
        <v>2279</v>
      </c>
      <c r="Y756" t="s">
        <v>9804</v>
      </c>
      <c r="Z756" t="s">
        <v>74</v>
      </c>
      <c r="AA756" t="s">
        <v>74</v>
      </c>
      <c r="AB756" t="s">
        <v>9805</v>
      </c>
      <c r="AC756" t="s">
        <v>74</v>
      </c>
      <c r="AD756" t="s">
        <v>74</v>
      </c>
      <c r="AE756" t="s">
        <v>74</v>
      </c>
      <c r="AF756" t="s">
        <v>74</v>
      </c>
      <c r="AG756">
        <v>36</v>
      </c>
      <c r="AH756">
        <v>36</v>
      </c>
      <c r="AI756">
        <v>39</v>
      </c>
      <c r="AJ756">
        <v>0</v>
      </c>
      <c r="AK756">
        <v>8</v>
      </c>
      <c r="AL756" t="s">
        <v>2057</v>
      </c>
      <c r="AM756" t="s">
        <v>554</v>
      </c>
      <c r="AN756" t="s">
        <v>2058</v>
      </c>
      <c r="AO756" t="s">
        <v>2979</v>
      </c>
      <c r="AP756" t="s">
        <v>74</v>
      </c>
      <c r="AQ756" t="s">
        <v>74</v>
      </c>
      <c r="AR756" t="s">
        <v>2980</v>
      </c>
      <c r="AS756" t="s">
        <v>2981</v>
      </c>
      <c r="AT756" t="s">
        <v>9735</v>
      </c>
      <c r="AU756">
        <v>1999</v>
      </c>
      <c r="AV756">
        <v>11</v>
      </c>
      <c r="AW756">
        <v>1</v>
      </c>
      <c r="AX756" t="s">
        <v>74</v>
      </c>
      <c r="AY756" t="s">
        <v>74</v>
      </c>
      <c r="AZ756" t="s">
        <v>74</v>
      </c>
      <c r="BA756" t="s">
        <v>74</v>
      </c>
      <c r="BB756">
        <v>38</v>
      </c>
      <c r="BC756">
        <v>47</v>
      </c>
      <c r="BD756" t="s">
        <v>74</v>
      </c>
      <c r="BE756" t="s">
        <v>9806</v>
      </c>
      <c r="BF756" t="str">
        <f>HYPERLINK("http://dx.doi.org/10.1017/S0954102099000061","http://dx.doi.org/10.1017/S0954102099000061")</f>
        <v>http://dx.doi.org/10.1017/S0954102099000061</v>
      </c>
      <c r="BG756" t="s">
        <v>74</v>
      </c>
      <c r="BH756" t="s">
        <v>74</v>
      </c>
      <c r="BI756">
        <v>10</v>
      </c>
      <c r="BJ756" t="s">
        <v>2984</v>
      </c>
      <c r="BK756" t="s">
        <v>96</v>
      </c>
      <c r="BL756" t="s">
        <v>2985</v>
      </c>
      <c r="BM756" t="s">
        <v>9754</v>
      </c>
      <c r="BN756" t="s">
        <v>74</v>
      </c>
      <c r="BO756" t="s">
        <v>74</v>
      </c>
      <c r="BP756" t="s">
        <v>74</v>
      </c>
      <c r="BQ756" t="s">
        <v>74</v>
      </c>
      <c r="BR756" t="s">
        <v>99</v>
      </c>
      <c r="BS756" t="s">
        <v>9807</v>
      </c>
      <c r="BT756" t="str">
        <f>HYPERLINK("https%3A%2F%2Fwww.webofscience.com%2Fwos%2Fwoscc%2Ffull-record%2FWOS:000084414000006","View Full Record in Web of Science")</f>
        <v>View Full Record in Web of Science</v>
      </c>
    </row>
    <row r="757" spans="1:72" x14ac:dyDescent="0.15">
      <c r="A757" t="s">
        <v>72</v>
      </c>
      <c r="B757" t="s">
        <v>9808</v>
      </c>
      <c r="C757" t="s">
        <v>74</v>
      </c>
      <c r="D757" t="s">
        <v>74</v>
      </c>
      <c r="E757" t="s">
        <v>74</v>
      </c>
      <c r="F757" t="s">
        <v>9808</v>
      </c>
      <c r="G757" t="s">
        <v>74</v>
      </c>
      <c r="H757" t="s">
        <v>74</v>
      </c>
      <c r="I757" t="s">
        <v>9809</v>
      </c>
      <c r="J757" t="s">
        <v>2978</v>
      </c>
      <c r="K757" t="s">
        <v>74</v>
      </c>
      <c r="L757" t="s">
        <v>74</v>
      </c>
      <c r="M757" t="s">
        <v>77</v>
      </c>
      <c r="N757" t="s">
        <v>78</v>
      </c>
      <c r="O757" t="s">
        <v>74</v>
      </c>
      <c r="P757" t="s">
        <v>74</v>
      </c>
      <c r="Q757" t="s">
        <v>74</v>
      </c>
      <c r="R757" t="s">
        <v>74</v>
      </c>
      <c r="S757" t="s">
        <v>74</v>
      </c>
      <c r="T757" t="s">
        <v>9810</v>
      </c>
      <c r="U757" t="s">
        <v>9811</v>
      </c>
      <c r="V757" t="s">
        <v>9812</v>
      </c>
      <c r="W757" t="s">
        <v>9813</v>
      </c>
      <c r="X757" t="s">
        <v>9814</v>
      </c>
      <c r="Y757" t="s">
        <v>9815</v>
      </c>
      <c r="Z757" t="s">
        <v>74</v>
      </c>
      <c r="AA757" t="s">
        <v>9816</v>
      </c>
      <c r="AB757" t="s">
        <v>74</v>
      </c>
      <c r="AC757" t="s">
        <v>74</v>
      </c>
      <c r="AD757" t="s">
        <v>74</v>
      </c>
      <c r="AE757" t="s">
        <v>74</v>
      </c>
      <c r="AF757" t="s">
        <v>74</v>
      </c>
      <c r="AG757">
        <v>24</v>
      </c>
      <c r="AH757">
        <v>21</v>
      </c>
      <c r="AI757">
        <v>26</v>
      </c>
      <c r="AJ757">
        <v>0</v>
      </c>
      <c r="AK757">
        <v>5</v>
      </c>
      <c r="AL757" t="s">
        <v>2057</v>
      </c>
      <c r="AM757" t="s">
        <v>554</v>
      </c>
      <c r="AN757" t="s">
        <v>2058</v>
      </c>
      <c r="AO757" t="s">
        <v>2979</v>
      </c>
      <c r="AP757" t="s">
        <v>74</v>
      </c>
      <c r="AQ757" t="s">
        <v>74</v>
      </c>
      <c r="AR757" t="s">
        <v>2980</v>
      </c>
      <c r="AS757" t="s">
        <v>2981</v>
      </c>
      <c r="AT757" t="s">
        <v>9735</v>
      </c>
      <c r="AU757">
        <v>1999</v>
      </c>
      <c r="AV757">
        <v>11</v>
      </c>
      <c r="AW757">
        <v>1</v>
      </c>
      <c r="AX757" t="s">
        <v>74</v>
      </c>
      <c r="AY757" t="s">
        <v>74</v>
      </c>
      <c r="AZ757" t="s">
        <v>74</v>
      </c>
      <c r="BA757" t="s">
        <v>74</v>
      </c>
      <c r="BB757">
        <v>48</v>
      </c>
      <c r="BC757">
        <v>53</v>
      </c>
      <c r="BD757" t="s">
        <v>74</v>
      </c>
      <c r="BE757" t="s">
        <v>9817</v>
      </c>
      <c r="BF757" t="str">
        <f>HYPERLINK("http://dx.doi.org/10.1017/S0954102099000073","http://dx.doi.org/10.1017/S0954102099000073")</f>
        <v>http://dx.doi.org/10.1017/S0954102099000073</v>
      </c>
      <c r="BG757" t="s">
        <v>74</v>
      </c>
      <c r="BH757" t="s">
        <v>74</v>
      </c>
      <c r="BI757">
        <v>6</v>
      </c>
      <c r="BJ757" t="s">
        <v>2984</v>
      </c>
      <c r="BK757" t="s">
        <v>96</v>
      </c>
      <c r="BL757" t="s">
        <v>2985</v>
      </c>
      <c r="BM757" t="s">
        <v>9754</v>
      </c>
      <c r="BN757" t="s">
        <v>74</v>
      </c>
      <c r="BO757" t="s">
        <v>74</v>
      </c>
      <c r="BP757" t="s">
        <v>74</v>
      </c>
      <c r="BQ757" t="s">
        <v>74</v>
      </c>
      <c r="BR757" t="s">
        <v>99</v>
      </c>
      <c r="BS757" t="s">
        <v>9818</v>
      </c>
      <c r="BT757" t="str">
        <f>HYPERLINK("https%3A%2F%2Fwww.webofscience.com%2Fwos%2Fwoscc%2Ffull-record%2FWOS:000084414000007","View Full Record in Web of Science")</f>
        <v>View Full Record in Web of Science</v>
      </c>
    </row>
    <row r="758" spans="1:72" x14ac:dyDescent="0.15">
      <c r="A758" t="s">
        <v>72</v>
      </c>
      <c r="B758" t="s">
        <v>9819</v>
      </c>
      <c r="C758" t="s">
        <v>74</v>
      </c>
      <c r="D758" t="s">
        <v>74</v>
      </c>
      <c r="E758" t="s">
        <v>74</v>
      </c>
      <c r="F758" t="s">
        <v>9819</v>
      </c>
      <c r="G758" t="s">
        <v>74</v>
      </c>
      <c r="H758" t="s">
        <v>74</v>
      </c>
      <c r="I758" t="s">
        <v>9820</v>
      </c>
      <c r="J758" t="s">
        <v>2978</v>
      </c>
      <c r="K758" t="s">
        <v>74</v>
      </c>
      <c r="L758" t="s">
        <v>74</v>
      </c>
      <c r="M758" t="s">
        <v>77</v>
      </c>
      <c r="N758" t="s">
        <v>78</v>
      </c>
      <c r="O758" t="s">
        <v>74</v>
      </c>
      <c r="P758" t="s">
        <v>74</v>
      </c>
      <c r="Q758" t="s">
        <v>74</v>
      </c>
      <c r="R758" t="s">
        <v>74</v>
      </c>
      <c r="S758" t="s">
        <v>74</v>
      </c>
      <c r="T758" t="s">
        <v>9821</v>
      </c>
      <c r="U758" t="s">
        <v>9822</v>
      </c>
      <c r="V758" t="s">
        <v>9823</v>
      </c>
      <c r="W758" t="s">
        <v>9824</v>
      </c>
      <c r="X758" t="s">
        <v>9825</v>
      </c>
      <c r="Y758" t="s">
        <v>9826</v>
      </c>
      <c r="Z758" t="s">
        <v>74</v>
      </c>
      <c r="AA758" t="s">
        <v>74</v>
      </c>
      <c r="AB758" t="s">
        <v>74</v>
      </c>
      <c r="AC758" t="s">
        <v>74</v>
      </c>
      <c r="AD758" t="s">
        <v>74</v>
      </c>
      <c r="AE758" t="s">
        <v>74</v>
      </c>
      <c r="AF758" t="s">
        <v>74</v>
      </c>
      <c r="AG758">
        <v>47</v>
      </c>
      <c r="AH758">
        <v>23</v>
      </c>
      <c r="AI758">
        <v>25</v>
      </c>
      <c r="AJ758">
        <v>0</v>
      </c>
      <c r="AK758">
        <v>9</v>
      </c>
      <c r="AL758" t="s">
        <v>2057</v>
      </c>
      <c r="AM758" t="s">
        <v>554</v>
      </c>
      <c r="AN758" t="s">
        <v>2058</v>
      </c>
      <c r="AO758" t="s">
        <v>2979</v>
      </c>
      <c r="AP758" t="s">
        <v>74</v>
      </c>
      <c r="AQ758" t="s">
        <v>74</v>
      </c>
      <c r="AR758" t="s">
        <v>2980</v>
      </c>
      <c r="AS758" t="s">
        <v>2981</v>
      </c>
      <c r="AT758" t="s">
        <v>9735</v>
      </c>
      <c r="AU758">
        <v>1999</v>
      </c>
      <c r="AV758">
        <v>11</v>
      </c>
      <c r="AW758">
        <v>1</v>
      </c>
      <c r="AX758" t="s">
        <v>74</v>
      </c>
      <c r="AY758" t="s">
        <v>74</v>
      </c>
      <c r="AZ758" t="s">
        <v>74</v>
      </c>
      <c r="BA758" t="s">
        <v>74</v>
      </c>
      <c r="BB758">
        <v>54</v>
      </c>
      <c r="BC758">
        <v>60</v>
      </c>
      <c r="BD758" t="s">
        <v>74</v>
      </c>
      <c r="BE758" t="s">
        <v>9827</v>
      </c>
      <c r="BF758" t="str">
        <f>HYPERLINK("http://dx.doi.org/10.1017/S0954102099000085","http://dx.doi.org/10.1017/S0954102099000085")</f>
        <v>http://dx.doi.org/10.1017/S0954102099000085</v>
      </c>
      <c r="BG758" t="s">
        <v>74</v>
      </c>
      <c r="BH758" t="s">
        <v>74</v>
      </c>
      <c r="BI758">
        <v>7</v>
      </c>
      <c r="BJ758" t="s">
        <v>2984</v>
      </c>
      <c r="BK758" t="s">
        <v>96</v>
      </c>
      <c r="BL758" t="s">
        <v>2985</v>
      </c>
      <c r="BM758" t="s">
        <v>9754</v>
      </c>
      <c r="BN758" t="s">
        <v>74</v>
      </c>
      <c r="BO758" t="s">
        <v>74</v>
      </c>
      <c r="BP758" t="s">
        <v>74</v>
      </c>
      <c r="BQ758" t="s">
        <v>74</v>
      </c>
      <c r="BR758" t="s">
        <v>99</v>
      </c>
      <c r="BS758" t="s">
        <v>9828</v>
      </c>
      <c r="BT758" t="str">
        <f>HYPERLINK("https%3A%2F%2Fwww.webofscience.com%2Fwos%2Fwoscc%2Ffull-record%2FWOS:000084414000008","View Full Record in Web of Science")</f>
        <v>View Full Record in Web of Science</v>
      </c>
    </row>
    <row r="759" spans="1:72" x14ac:dyDescent="0.15">
      <c r="A759" t="s">
        <v>72</v>
      </c>
      <c r="B759" t="s">
        <v>9829</v>
      </c>
      <c r="C759" t="s">
        <v>74</v>
      </c>
      <c r="D759" t="s">
        <v>74</v>
      </c>
      <c r="E759" t="s">
        <v>74</v>
      </c>
      <c r="F759" t="s">
        <v>9829</v>
      </c>
      <c r="G759" t="s">
        <v>74</v>
      </c>
      <c r="H759" t="s">
        <v>74</v>
      </c>
      <c r="I759" t="s">
        <v>9830</v>
      </c>
      <c r="J759" t="s">
        <v>2978</v>
      </c>
      <c r="K759" t="s">
        <v>74</v>
      </c>
      <c r="L759" t="s">
        <v>74</v>
      </c>
      <c r="M759" t="s">
        <v>77</v>
      </c>
      <c r="N759" t="s">
        <v>78</v>
      </c>
      <c r="O759" t="s">
        <v>74</v>
      </c>
      <c r="P759" t="s">
        <v>74</v>
      </c>
      <c r="Q759" t="s">
        <v>74</v>
      </c>
      <c r="R759" t="s">
        <v>74</v>
      </c>
      <c r="S759" t="s">
        <v>74</v>
      </c>
      <c r="T759" t="s">
        <v>74</v>
      </c>
      <c r="U759" t="s">
        <v>74</v>
      </c>
      <c r="V759" t="s">
        <v>74</v>
      </c>
      <c r="W759" t="s">
        <v>9831</v>
      </c>
      <c r="X759" t="s">
        <v>9832</v>
      </c>
      <c r="Y759" t="s">
        <v>9833</v>
      </c>
      <c r="Z759" t="s">
        <v>74</v>
      </c>
      <c r="AA759" t="s">
        <v>9834</v>
      </c>
      <c r="AB759" t="s">
        <v>9835</v>
      </c>
      <c r="AC759" t="s">
        <v>74</v>
      </c>
      <c r="AD759" t="s">
        <v>74</v>
      </c>
      <c r="AE759" t="s">
        <v>74</v>
      </c>
      <c r="AF759" t="s">
        <v>74</v>
      </c>
      <c r="AG759">
        <v>22</v>
      </c>
      <c r="AH759">
        <v>53</v>
      </c>
      <c r="AI759">
        <v>58</v>
      </c>
      <c r="AJ759">
        <v>0</v>
      </c>
      <c r="AK759">
        <v>17</v>
      </c>
      <c r="AL759" t="s">
        <v>2057</v>
      </c>
      <c r="AM759" t="s">
        <v>554</v>
      </c>
      <c r="AN759" t="s">
        <v>2058</v>
      </c>
      <c r="AO759" t="s">
        <v>2979</v>
      </c>
      <c r="AP759" t="s">
        <v>74</v>
      </c>
      <c r="AQ759" t="s">
        <v>74</v>
      </c>
      <c r="AR759" t="s">
        <v>2980</v>
      </c>
      <c r="AS759" t="s">
        <v>2981</v>
      </c>
      <c r="AT759" t="s">
        <v>9735</v>
      </c>
      <c r="AU759">
        <v>1999</v>
      </c>
      <c r="AV759">
        <v>11</v>
      </c>
      <c r="AW759">
        <v>1</v>
      </c>
      <c r="AX759" t="s">
        <v>74</v>
      </c>
      <c r="AY759" t="s">
        <v>74</v>
      </c>
      <c r="AZ759" t="s">
        <v>74</v>
      </c>
      <c r="BA759" t="s">
        <v>74</v>
      </c>
      <c r="BB759">
        <v>61</v>
      </c>
      <c r="BC759">
        <v>62</v>
      </c>
      <c r="BD759" t="s">
        <v>74</v>
      </c>
      <c r="BE759" t="s">
        <v>9836</v>
      </c>
      <c r="BF759" t="str">
        <f>HYPERLINK("http://dx.doi.org/10.1017/S0954102099000097","http://dx.doi.org/10.1017/S0954102099000097")</f>
        <v>http://dx.doi.org/10.1017/S0954102099000097</v>
      </c>
      <c r="BG759" t="s">
        <v>74</v>
      </c>
      <c r="BH759" t="s">
        <v>74</v>
      </c>
      <c r="BI759">
        <v>2</v>
      </c>
      <c r="BJ759" t="s">
        <v>2984</v>
      </c>
      <c r="BK759" t="s">
        <v>96</v>
      </c>
      <c r="BL759" t="s">
        <v>2985</v>
      </c>
      <c r="BM759" t="s">
        <v>9754</v>
      </c>
      <c r="BN759" t="s">
        <v>74</v>
      </c>
      <c r="BO759" t="s">
        <v>74</v>
      </c>
      <c r="BP759" t="s">
        <v>74</v>
      </c>
      <c r="BQ759" t="s">
        <v>74</v>
      </c>
      <c r="BR759" t="s">
        <v>99</v>
      </c>
      <c r="BS759" t="s">
        <v>9837</v>
      </c>
      <c r="BT759" t="str">
        <f>HYPERLINK("https%3A%2F%2Fwww.webofscience.com%2Fwos%2Fwoscc%2Ffull-record%2FWOS:000084414000009","View Full Record in Web of Science")</f>
        <v>View Full Record in Web of Science</v>
      </c>
    </row>
    <row r="760" spans="1:72" x14ac:dyDescent="0.15">
      <c r="A760" t="s">
        <v>72</v>
      </c>
      <c r="B760" t="s">
        <v>9838</v>
      </c>
      <c r="C760" t="s">
        <v>74</v>
      </c>
      <c r="D760" t="s">
        <v>74</v>
      </c>
      <c r="E760" t="s">
        <v>74</v>
      </c>
      <c r="F760" t="s">
        <v>9838</v>
      </c>
      <c r="G760" t="s">
        <v>74</v>
      </c>
      <c r="H760" t="s">
        <v>74</v>
      </c>
      <c r="I760" t="s">
        <v>9839</v>
      </c>
      <c r="J760" t="s">
        <v>2978</v>
      </c>
      <c r="K760" t="s">
        <v>74</v>
      </c>
      <c r="L760" t="s">
        <v>74</v>
      </c>
      <c r="M760" t="s">
        <v>77</v>
      </c>
      <c r="N760" t="s">
        <v>78</v>
      </c>
      <c r="O760" t="s">
        <v>74</v>
      </c>
      <c r="P760" t="s">
        <v>74</v>
      </c>
      <c r="Q760" t="s">
        <v>74</v>
      </c>
      <c r="R760" t="s">
        <v>74</v>
      </c>
      <c r="S760" t="s">
        <v>74</v>
      </c>
      <c r="T760" t="s">
        <v>9840</v>
      </c>
      <c r="U760" t="s">
        <v>9841</v>
      </c>
      <c r="V760" t="s">
        <v>9842</v>
      </c>
      <c r="W760" t="s">
        <v>151</v>
      </c>
      <c r="X760" t="s">
        <v>131</v>
      </c>
      <c r="Y760" t="s">
        <v>152</v>
      </c>
      <c r="Z760" t="s">
        <v>8375</v>
      </c>
      <c r="AA760" t="s">
        <v>9843</v>
      </c>
      <c r="AB760" t="s">
        <v>3059</v>
      </c>
      <c r="AC760" t="s">
        <v>74</v>
      </c>
      <c r="AD760" t="s">
        <v>74</v>
      </c>
      <c r="AE760" t="s">
        <v>74</v>
      </c>
      <c r="AF760" t="s">
        <v>74</v>
      </c>
      <c r="AG760">
        <v>44</v>
      </c>
      <c r="AH760">
        <v>17</v>
      </c>
      <c r="AI760">
        <v>17</v>
      </c>
      <c r="AJ760">
        <v>0</v>
      </c>
      <c r="AK760">
        <v>3</v>
      </c>
      <c r="AL760" t="s">
        <v>2057</v>
      </c>
      <c r="AM760" t="s">
        <v>554</v>
      </c>
      <c r="AN760" t="s">
        <v>2997</v>
      </c>
      <c r="AO760" t="s">
        <v>2979</v>
      </c>
      <c r="AP760" t="s">
        <v>3006</v>
      </c>
      <c r="AQ760" t="s">
        <v>74</v>
      </c>
      <c r="AR760" t="s">
        <v>2980</v>
      </c>
      <c r="AS760" t="s">
        <v>2981</v>
      </c>
      <c r="AT760" t="s">
        <v>9735</v>
      </c>
      <c r="AU760">
        <v>1999</v>
      </c>
      <c r="AV760">
        <v>11</v>
      </c>
      <c r="AW760">
        <v>1</v>
      </c>
      <c r="AX760" t="s">
        <v>74</v>
      </c>
      <c r="AY760" t="s">
        <v>74</v>
      </c>
      <c r="AZ760" t="s">
        <v>74</v>
      </c>
      <c r="BA760" t="s">
        <v>74</v>
      </c>
      <c r="BB760">
        <v>63</v>
      </c>
      <c r="BC760">
        <v>77</v>
      </c>
      <c r="BD760" t="s">
        <v>74</v>
      </c>
      <c r="BE760" t="s">
        <v>9844</v>
      </c>
      <c r="BF760" t="str">
        <f>HYPERLINK("http://dx.doi.org/10.1017/S0954102099000103","http://dx.doi.org/10.1017/S0954102099000103")</f>
        <v>http://dx.doi.org/10.1017/S0954102099000103</v>
      </c>
      <c r="BG760" t="s">
        <v>74</v>
      </c>
      <c r="BH760" t="s">
        <v>74</v>
      </c>
      <c r="BI760">
        <v>15</v>
      </c>
      <c r="BJ760" t="s">
        <v>2984</v>
      </c>
      <c r="BK760" t="s">
        <v>96</v>
      </c>
      <c r="BL760" t="s">
        <v>2985</v>
      </c>
      <c r="BM760" t="s">
        <v>9754</v>
      </c>
      <c r="BN760" t="s">
        <v>74</v>
      </c>
      <c r="BO760" t="s">
        <v>74</v>
      </c>
      <c r="BP760" t="s">
        <v>74</v>
      </c>
      <c r="BQ760" t="s">
        <v>74</v>
      </c>
      <c r="BR760" t="s">
        <v>99</v>
      </c>
      <c r="BS760" t="s">
        <v>9845</v>
      </c>
      <c r="BT760" t="str">
        <f>HYPERLINK("https%3A%2F%2Fwww.webofscience.com%2Fwos%2Fwoscc%2Ffull-record%2FWOS:000084414000010","View Full Record in Web of Science")</f>
        <v>View Full Record in Web of Science</v>
      </c>
    </row>
    <row r="761" spans="1:72" x14ac:dyDescent="0.15">
      <c r="A761" t="s">
        <v>72</v>
      </c>
      <c r="B761" t="s">
        <v>9846</v>
      </c>
      <c r="C761" t="s">
        <v>74</v>
      </c>
      <c r="D761" t="s">
        <v>74</v>
      </c>
      <c r="E761" t="s">
        <v>74</v>
      </c>
      <c r="F761" t="s">
        <v>9846</v>
      </c>
      <c r="G761" t="s">
        <v>74</v>
      </c>
      <c r="H761" t="s">
        <v>74</v>
      </c>
      <c r="I761" t="s">
        <v>9847</v>
      </c>
      <c r="J761" t="s">
        <v>2978</v>
      </c>
      <c r="K761" t="s">
        <v>74</v>
      </c>
      <c r="L761" t="s">
        <v>74</v>
      </c>
      <c r="M761" t="s">
        <v>77</v>
      </c>
      <c r="N761" t="s">
        <v>78</v>
      </c>
      <c r="O761" t="s">
        <v>74</v>
      </c>
      <c r="P761" t="s">
        <v>74</v>
      </c>
      <c r="Q761" t="s">
        <v>74</v>
      </c>
      <c r="R761" t="s">
        <v>74</v>
      </c>
      <c r="S761" t="s">
        <v>74</v>
      </c>
      <c r="T761" t="s">
        <v>9848</v>
      </c>
      <c r="U761" t="s">
        <v>9849</v>
      </c>
      <c r="V761" t="s">
        <v>9850</v>
      </c>
      <c r="W761" t="s">
        <v>9851</v>
      </c>
      <c r="X761" t="s">
        <v>9852</v>
      </c>
      <c r="Y761" t="s">
        <v>9853</v>
      </c>
      <c r="Z761" t="s">
        <v>74</v>
      </c>
      <c r="AA761" t="s">
        <v>8304</v>
      </c>
      <c r="AB761" t="s">
        <v>9854</v>
      </c>
      <c r="AC761" t="s">
        <v>74</v>
      </c>
      <c r="AD761" t="s">
        <v>74</v>
      </c>
      <c r="AE761" t="s">
        <v>74</v>
      </c>
      <c r="AF761" t="s">
        <v>74</v>
      </c>
      <c r="AG761">
        <v>37</v>
      </c>
      <c r="AH761">
        <v>58</v>
      </c>
      <c r="AI761">
        <v>60</v>
      </c>
      <c r="AJ761">
        <v>0</v>
      </c>
      <c r="AK761">
        <v>4</v>
      </c>
      <c r="AL761" t="s">
        <v>2057</v>
      </c>
      <c r="AM761" t="s">
        <v>554</v>
      </c>
      <c r="AN761" t="s">
        <v>2058</v>
      </c>
      <c r="AO761" t="s">
        <v>2979</v>
      </c>
      <c r="AP761" t="s">
        <v>74</v>
      </c>
      <c r="AQ761" t="s">
        <v>74</v>
      </c>
      <c r="AR761" t="s">
        <v>2980</v>
      </c>
      <c r="AS761" t="s">
        <v>2981</v>
      </c>
      <c r="AT761" t="s">
        <v>9735</v>
      </c>
      <c r="AU761">
        <v>1999</v>
      </c>
      <c r="AV761">
        <v>11</v>
      </c>
      <c r="AW761">
        <v>1</v>
      </c>
      <c r="AX761" t="s">
        <v>74</v>
      </c>
      <c r="AY761" t="s">
        <v>74</v>
      </c>
      <c r="AZ761" t="s">
        <v>74</v>
      </c>
      <c r="BA761" t="s">
        <v>74</v>
      </c>
      <c r="BB761">
        <v>78</v>
      </c>
      <c r="BC761">
        <v>91</v>
      </c>
      <c r="BD761" t="s">
        <v>74</v>
      </c>
      <c r="BE761" t="s">
        <v>9855</v>
      </c>
      <c r="BF761" t="str">
        <f>HYPERLINK("http://dx.doi.org/10.1017/S0954102099000115","http://dx.doi.org/10.1017/S0954102099000115")</f>
        <v>http://dx.doi.org/10.1017/S0954102099000115</v>
      </c>
      <c r="BG761" t="s">
        <v>74</v>
      </c>
      <c r="BH761" t="s">
        <v>74</v>
      </c>
      <c r="BI761">
        <v>14</v>
      </c>
      <c r="BJ761" t="s">
        <v>2984</v>
      </c>
      <c r="BK761" t="s">
        <v>96</v>
      </c>
      <c r="BL761" t="s">
        <v>2985</v>
      </c>
      <c r="BM761" t="s">
        <v>9754</v>
      </c>
      <c r="BN761" t="s">
        <v>74</v>
      </c>
      <c r="BO761" t="s">
        <v>74</v>
      </c>
      <c r="BP761" t="s">
        <v>74</v>
      </c>
      <c r="BQ761" t="s">
        <v>74</v>
      </c>
      <c r="BR761" t="s">
        <v>99</v>
      </c>
      <c r="BS761" t="s">
        <v>9856</v>
      </c>
      <c r="BT761" t="str">
        <f>HYPERLINK("https%3A%2F%2Fwww.webofscience.com%2Fwos%2Fwoscc%2Ffull-record%2FWOS:000084414000011","View Full Record in Web of Science")</f>
        <v>View Full Record in Web of Science</v>
      </c>
    </row>
    <row r="762" spans="1:72" x14ac:dyDescent="0.15">
      <c r="A762" t="s">
        <v>72</v>
      </c>
      <c r="B762" t="s">
        <v>9857</v>
      </c>
      <c r="C762" t="s">
        <v>74</v>
      </c>
      <c r="D762" t="s">
        <v>74</v>
      </c>
      <c r="E762" t="s">
        <v>74</v>
      </c>
      <c r="F762" t="s">
        <v>9857</v>
      </c>
      <c r="G762" t="s">
        <v>74</v>
      </c>
      <c r="H762" t="s">
        <v>74</v>
      </c>
      <c r="I762" t="s">
        <v>9858</v>
      </c>
      <c r="J762" t="s">
        <v>2978</v>
      </c>
      <c r="K762" t="s">
        <v>74</v>
      </c>
      <c r="L762" t="s">
        <v>74</v>
      </c>
      <c r="M762" t="s">
        <v>77</v>
      </c>
      <c r="N762" t="s">
        <v>78</v>
      </c>
      <c r="O762" t="s">
        <v>74</v>
      </c>
      <c r="P762" t="s">
        <v>74</v>
      </c>
      <c r="Q762" t="s">
        <v>74</v>
      </c>
      <c r="R762" t="s">
        <v>74</v>
      </c>
      <c r="S762" t="s">
        <v>74</v>
      </c>
      <c r="T762" t="s">
        <v>9859</v>
      </c>
      <c r="U762" t="s">
        <v>9860</v>
      </c>
      <c r="V762" t="s">
        <v>9861</v>
      </c>
      <c r="W762" t="s">
        <v>9862</v>
      </c>
      <c r="X762" t="s">
        <v>272</v>
      </c>
      <c r="Y762" t="s">
        <v>9863</v>
      </c>
      <c r="Z762" t="s">
        <v>9864</v>
      </c>
      <c r="AA762" t="s">
        <v>9865</v>
      </c>
      <c r="AB762" t="s">
        <v>9866</v>
      </c>
      <c r="AC762" t="s">
        <v>74</v>
      </c>
      <c r="AD762" t="s">
        <v>74</v>
      </c>
      <c r="AE762" t="s">
        <v>74</v>
      </c>
      <c r="AF762" t="s">
        <v>74</v>
      </c>
      <c r="AG762">
        <v>22</v>
      </c>
      <c r="AH762">
        <v>2</v>
      </c>
      <c r="AI762">
        <v>2</v>
      </c>
      <c r="AJ762">
        <v>0</v>
      </c>
      <c r="AK762">
        <v>2</v>
      </c>
      <c r="AL762" t="s">
        <v>2057</v>
      </c>
      <c r="AM762" t="s">
        <v>554</v>
      </c>
      <c r="AN762" t="s">
        <v>2997</v>
      </c>
      <c r="AO762" t="s">
        <v>2979</v>
      </c>
      <c r="AP762" t="s">
        <v>3006</v>
      </c>
      <c r="AQ762" t="s">
        <v>74</v>
      </c>
      <c r="AR762" t="s">
        <v>2980</v>
      </c>
      <c r="AS762" t="s">
        <v>2981</v>
      </c>
      <c r="AT762" t="s">
        <v>9735</v>
      </c>
      <c r="AU762">
        <v>1999</v>
      </c>
      <c r="AV762">
        <v>11</v>
      </c>
      <c r="AW762">
        <v>1</v>
      </c>
      <c r="AX762" t="s">
        <v>74</v>
      </c>
      <c r="AY762" t="s">
        <v>74</v>
      </c>
      <c r="AZ762" t="s">
        <v>74</v>
      </c>
      <c r="BA762" t="s">
        <v>74</v>
      </c>
      <c r="BB762">
        <v>93</v>
      </c>
      <c r="BC762">
        <v>99</v>
      </c>
      <c r="BD762" t="s">
        <v>74</v>
      </c>
      <c r="BE762" t="s">
        <v>9867</v>
      </c>
      <c r="BF762" t="str">
        <f>HYPERLINK("http://dx.doi.org/10.1017/S0954102099000127","http://dx.doi.org/10.1017/S0954102099000127")</f>
        <v>http://dx.doi.org/10.1017/S0954102099000127</v>
      </c>
      <c r="BG762" t="s">
        <v>74</v>
      </c>
      <c r="BH762" t="s">
        <v>74</v>
      </c>
      <c r="BI762">
        <v>7</v>
      </c>
      <c r="BJ762" t="s">
        <v>2984</v>
      </c>
      <c r="BK762" t="s">
        <v>96</v>
      </c>
      <c r="BL762" t="s">
        <v>2985</v>
      </c>
      <c r="BM762" t="s">
        <v>9754</v>
      </c>
      <c r="BN762" t="s">
        <v>74</v>
      </c>
      <c r="BO762" t="s">
        <v>74</v>
      </c>
      <c r="BP762" t="s">
        <v>74</v>
      </c>
      <c r="BQ762" t="s">
        <v>74</v>
      </c>
      <c r="BR762" t="s">
        <v>99</v>
      </c>
      <c r="BS762" t="s">
        <v>9868</v>
      </c>
      <c r="BT762" t="str">
        <f>HYPERLINK("https%3A%2F%2Fwww.webofscience.com%2Fwos%2Fwoscc%2Ffull-record%2FWOS:000084414000012","View Full Record in Web of Science")</f>
        <v>View Full Record in Web of Science</v>
      </c>
    </row>
    <row r="763" spans="1:72" x14ac:dyDescent="0.15">
      <c r="A763" t="s">
        <v>72</v>
      </c>
      <c r="B763" t="s">
        <v>9869</v>
      </c>
      <c r="C763" t="s">
        <v>74</v>
      </c>
      <c r="D763" t="s">
        <v>74</v>
      </c>
      <c r="E763" t="s">
        <v>74</v>
      </c>
      <c r="F763" t="s">
        <v>9869</v>
      </c>
      <c r="G763" t="s">
        <v>74</v>
      </c>
      <c r="H763" t="s">
        <v>74</v>
      </c>
      <c r="I763" t="s">
        <v>9870</v>
      </c>
      <c r="J763" t="s">
        <v>2978</v>
      </c>
      <c r="K763" t="s">
        <v>74</v>
      </c>
      <c r="L763" t="s">
        <v>74</v>
      </c>
      <c r="M763" t="s">
        <v>77</v>
      </c>
      <c r="N763" t="s">
        <v>78</v>
      </c>
      <c r="O763" t="s">
        <v>74</v>
      </c>
      <c r="P763" t="s">
        <v>74</v>
      </c>
      <c r="Q763" t="s">
        <v>74</v>
      </c>
      <c r="R763" t="s">
        <v>74</v>
      </c>
      <c r="S763" t="s">
        <v>74</v>
      </c>
      <c r="T763" t="s">
        <v>9871</v>
      </c>
      <c r="U763" t="s">
        <v>9872</v>
      </c>
      <c r="V763" t="s">
        <v>9873</v>
      </c>
      <c r="W763" t="s">
        <v>151</v>
      </c>
      <c r="X763" t="s">
        <v>131</v>
      </c>
      <c r="Y763" t="s">
        <v>9874</v>
      </c>
      <c r="Z763" t="s">
        <v>9875</v>
      </c>
      <c r="AA763" t="s">
        <v>74</v>
      </c>
      <c r="AB763" t="s">
        <v>74</v>
      </c>
      <c r="AC763" t="s">
        <v>74</v>
      </c>
      <c r="AD763" t="s">
        <v>74</v>
      </c>
      <c r="AE763" t="s">
        <v>74</v>
      </c>
      <c r="AF763" t="s">
        <v>74</v>
      </c>
      <c r="AG763">
        <v>11</v>
      </c>
      <c r="AH763">
        <v>22</v>
      </c>
      <c r="AI763">
        <v>23</v>
      </c>
      <c r="AJ763">
        <v>0</v>
      </c>
      <c r="AK763">
        <v>2</v>
      </c>
      <c r="AL763" t="s">
        <v>2057</v>
      </c>
      <c r="AM763" t="s">
        <v>554</v>
      </c>
      <c r="AN763" t="s">
        <v>2997</v>
      </c>
      <c r="AO763" t="s">
        <v>2979</v>
      </c>
      <c r="AP763" t="s">
        <v>3006</v>
      </c>
      <c r="AQ763" t="s">
        <v>74</v>
      </c>
      <c r="AR763" t="s">
        <v>2980</v>
      </c>
      <c r="AS763" t="s">
        <v>2981</v>
      </c>
      <c r="AT763" t="s">
        <v>9735</v>
      </c>
      <c r="AU763">
        <v>1999</v>
      </c>
      <c r="AV763">
        <v>11</v>
      </c>
      <c r="AW763">
        <v>1</v>
      </c>
      <c r="AX763" t="s">
        <v>74</v>
      </c>
      <c r="AY763" t="s">
        <v>74</v>
      </c>
      <c r="AZ763" t="s">
        <v>74</v>
      </c>
      <c r="BA763" t="s">
        <v>74</v>
      </c>
      <c r="BB763">
        <v>100</v>
      </c>
      <c r="BC763">
        <v>104</v>
      </c>
      <c r="BD763" t="s">
        <v>74</v>
      </c>
      <c r="BE763" t="s">
        <v>9876</v>
      </c>
      <c r="BF763" t="str">
        <f>HYPERLINK("http://dx.doi.org/10.1017/S0954102099000139","http://dx.doi.org/10.1017/S0954102099000139")</f>
        <v>http://dx.doi.org/10.1017/S0954102099000139</v>
      </c>
      <c r="BG763" t="s">
        <v>74</v>
      </c>
      <c r="BH763" t="s">
        <v>74</v>
      </c>
      <c r="BI763">
        <v>5</v>
      </c>
      <c r="BJ763" t="s">
        <v>2984</v>
      </c>
      <c r="BK763" t="s">
        <v>96</v>
      </c>
      <c r="BL763" t="s">
        <v>2985</v>
      </c>
      <c r="BM763" t="s">
        <v>9754</v>
      </c>
      <c r="BN763" t="s">
        <v>74</v>
      </c>
      <c r="BO763" t="s">
        <v>74</v>
      </c>
      <c r="BP763" t="s">
        <v>74</v>
      </c>
      <c r="BQ763" t="s">
        <v>74</v>
      </c>
      <c r="BR763" t="s">
        <v>99</v>
      </c>
      <c r="BS763" t="s">
        <v>9877</v>
      </c>
      <c r="BT763" t="str">
        <f>HYPERLINK("https%3A%2F%2Fwww.webofscience.com%2Fwos%2Fwoscc%2Ffull-record%2FWOS:000084414000013","View Full Record in Web of Science")</f>
        <v>View Full Record in Web of Science</v>
      </c>
    </row>
    <row r="764" spans="1:72" x14ac:dyDescent="0.15">
      <c r="A764" t="s">
        <v>72</v>
      </c>
      <c r="B764" t="s">
        <v>9878</v>
      </c>
      <c r="C764" t="s">
        <v>74</v>
      </c>
      <c r="D764" t="s">
        <v>74</v>
      </c>
      <c r="E764" t="s">
        <v>74</v>
      </c>
      <c r="F764" t="s">
        <v>9878</v>
      </c>
      <c r="G764" t="s">
        <v>74</v>
      </c>
      <c r="H764" t="s">
        <v>74</v>
      </c>
      <c r="I764" t="s">
        <v>9879</v>
      </c>
      <c r="J764" t="s">
        <v>2978</v>
      </c>
      <c r="K764" t="s">
        <v>74</v>
      </c>
      <c r="L764" t="s">
        <v>74</v>
      </c>
      <c r="M764" t="s">
        <v>77</v>
      </c>
      <c r="N764" t="s">
        <v>78</v>
      </c>
      <c r="O764" t="s">
        <v>74</v>
      </c>
      <c r="P764" t="s">
        <v>74</v>
      </c>
      <c r="Q764" t="s">
        <v>74</v>
      </c>
      <c r="R764" t="s">
        <v>74</v>
      </c>
      <c r="S764" t="s">
        <v>74</v>
      </c>
      <c r="T764" t="s">
        <v>9880</v>
      </c>
      <c r="U764" t="s">
        <v>9881</v>
      </c>
      <c r="V764" t="s">
        <v>9882</v>
      </c>
      <c r="W764" t="s">
        <v>9883</v>
      </c>
      <c r="X764" t="s">
        <v>9525</v>
      </c>
      <c r="Y764" t="s">
        <v>9884</v>
      </c>
      <c r="Z764" t="s">
        <v>9885</v>
      </c>
      <c r="AA764" t="s">
        <v>9528</v>
      </c>
      <c r="AB764" t="s">
        <v>74</v>
      </c>
      <c r="AC764" t="s">
        <v>74</v>
      </c>
      <c r="AD764" t="s">
        <v>74</v>
      </c>
      <c r="AE764" t="s">
        <v>74</v>
      </c>
      <c r="AF764" t="s">
        <v>74</v>
      </c>
      <c r="AG764">
        <v>59</v>
      </c>
      <c r="AH764">
        <v>56</v>
      </c>
      <c r="AI764">
        <v>66</v>
      </c>
      <c r="AJ764">
        <v>1</v>
      </c>
      <c r="AK764">
        <v>10</v>
      </c>
      <c r="AL764" t="s">
        <v>2057</v>
      </c>
      <c r="AM764" t="s">
        <v>554</v>
      </c>
      <c r="AN764" t="s">
        <v>2997</v>
      </c>
      <c r="AO764" t="s">
        <v>2979</v>
      </c>
      <c r="AP764" t="s">
        <v>3006</v>
      </c>
      <c r="AQ764" t="s">
        <v>74</v>
      </c>
      <c r="AR764" t="s">
        <v>2980</v>
      </c>
      <c r="AS764" t="s">
        <v>2981</v>
      </c>
      <c r="AT764" t="s">
        <v>9735</v>
      </c>
      <c r="AU764">
        <v>1999</v>
      </c>
      <c r="AV764">
        <v>11</v>
      </c>
      <c r="AW764">
        <v>1</v>
      </c>
      <c r="AX764" t="s">
        <v>74</v>
      </c>
      <c r="AY764" t="s">
        <v>74</v>
      </c>
      <c r="AZ764" t="s">
        <v>74</v>
      </c>
      <c r="BA764" t="s">
        <v>74</v>
      </c>
      <c r="BB764">
        <v>105</v>
      </c>
      <c r="BC764">
        <v>118</v>
      </c>
      <c r="BD764" t="s">
        <v>74</v>
      </c>
      <c r="BE764" t="s">
        <v>9886</v>
      </c>
      <c r="BF764" t="str">
        <f>HYPERLINK("http://dx.doi.org/10.1017/S0954102099000140","http://dx.doi.org/10.1017/S0954102099000140")</f>
        <v>http://dx.doi.org/10.1017/S0954102099000140</v>
      </c>
      <c r="BG764" t="s">
        <v>74</v>
      </c>
      <c r="BH764" t="s">
        <v>74</v>
      </c>
      <c r="BI764">
        <v>14</v>
      </c>
      <c r="BJ764" t="s">
        <v>2984</v>
      </c>
      <c r="BK764" t="s">
        <v>96</v>
      </c>
      <c r="BL764" t="s">
        <v>2985</v>
      </c>
      <c r="BM764" t="s">
        <v>9754</v>
      </c>
      <c r="BN764" t="s">
        <v>74</v>
      </c>
      <c r="BO764" t="s">
        <v>74</v>
      </c>
      <c r="BP764" t="s">
        <v>74</v>
      </c>
      <c r="BQ764" t="s">
        <v>74</v>
      </c>
      <c r="BR764" t="s">
        <v>99</v>
      </c>
      <c r="BS764" t="s">
        <v>9887</v>
      </c>
      <c r="BT764" t="str">
        <f>HYPERLINK("https%3A%2F%2Fwww.webofscience.com%2Fwos%2Fwoscc%2Ffull-record%2FWOS:000084414000014","View Full Record in Web of Science")</f>
        <v>View Full Record in Web of Science</v>
      </c>
    </row>
    <row r="765" spans="1:72" x14ac:dyDescent="0.15">
      <c r="A765" t="s">
        <v>72</v>
      </c>
      <c r="B765" t="s">
        <v>9888</v>
      </c>
      <c r="C765" t="s">
        <v>74</v>
      </c>
      <c r="D765" t="s">
        <v>74</v>
      </c>
      <c r="E765" t="s">
        <v>74</v>
      </c>
      <c r="F765" t="s">
        <v>9888</v>
      </c>
      <c r="G765" t="s">
        <v>74</v>
      </c>
      <c r="H765" t="s">
        <v>74</v>
      </c>
      <c r="I765" t="s">
        <v>9889</v>
      </c>
      <c r="J765" t="s">
        <v>2978</v>
      </c>
      <c r="K765" t="s">
        <v>74</v>
      </c>
      <c r="L765" t="s">
        <v>74</v>
      </c>
      <c r="M765" t="s">
        <v>77</v>
      </c>
      <c r="N765" t="s">
        <v>205</v>
      </c>
      <c r="O765" t="s">
        <v>74</v>
      </c>
      <c r="P765" t="s">
        <v>74</v>
      </c>
      <c r="Q765" t="s">
        <v>74</v>
      </c>
      <c r="R765" t="s">
        <v>74</v>
      </c>
      <c r="S765" t="s">
        <v>74</v>
      </c>
      <c r="T765" t="s">
        <v>74</v>
      </c>
      <c r="U765" t="s">
        <v>9890</v>
      </c>
      <c r="V765" t="s">
        <v>74</v>
      </c>
      <c r="W765" t="s">
        <v>9891</v>
      </c>
      <c r="X765" t="s">
        <v>9892</v>
      </c>
      <c r="Y765" t="s">
        <v>9893</v>
      </c>
      <c r="Z765" t="s">
        <v>74</v>
      </c>
      <c r="AA765" t="s">
        <v>74</v>
      </c>
      <c r="AB765" t="s">
        <v>9894</v>
      </c>
      <c r="AC765" t="s">
        <v>74</v>
      </c>
      <c r="AD765" t="s">
        <v>74</v>
      </c>
      <c r="AE765" t="s">
        <v>74</v>
      </c>
      <c r="AF765" t="s">
        <v>74</v>
      </c>
      <c r="AG765">
        <v>11</v>
      </c>
      <c r="AH765">
        <v>0</v>
      </c>
      <c r="AI765">
        <v>0</v>
      </c>
      <c r="AJ765">
        <v>0</v>
      </c>
      <c r="AK765">
        <v>0</v>
      </c>
      <c r="AL765" t="s">
        <v>2057</v>
      </c>
      <c r="AM765" t="s">
        <v>554</v>
      </c>
      <c r="AN765" t="s">
        <v>2997</v>
      </c>
      <c r="AO765" t="s">
        <v>2979</v>
      </c>
      <c r="AP765" t="s">
        <v>3006</v>
      </c>
      <c r="AQ765" t="s">
        <v>74</v>
      </c>
      <c r="AR765" t="s">
        <v>2980</v>
      </c>
      <c r="AS765" t="s">
        <v>2981</v>
      </c>
      <c r="AT765" t="s">
        <v>9735</v>
      </c>
      <c r="AU765">
        <v>1999</v>
      </c>
      <c r="AV765">
        <v>11</v>
      </c>
      <c r="AW765">
        <v>1</v>
      </c>
      <c r="AX765" t="s">
        <v>74</v>
      </c>
      <c r="AY765" t="s">
        <v>74</v>
      </c>
      <c r="AZ765" t="s">
        <v>74</v>
      </c>
      <c r="BA765" t="s">
        <v>74</v>
      </c>
      <c r="BB765">
        <v>119</v>
      </c>
      <c r="BC765">
        <v>119</v>
      </c>
      <c r="BD765" t="s">
        <v>74</v>
      </c>
      <c r="BE765" t="s">
        <v>9895</v>
      </c>
      <c r="BF765" t="str">
        <f>HYPERLINK("http://dx.doi.org/10.1017/S0954102099000152","http://dx.doi.org/10.1017/S0954102099000152")</f>
        <v>http://dx.doi.org/10.1017/S0954102099000152</v>
      </c>
      <c r="BG765" t="s">
        <v>74</v>
      </c>
      <c r="BH765" t="s">
        <v>74</v>
      </c>
      <c r="BI765">
        <v>1</v>
      </c>
      <c r="BJ765" t="s">
        <v>2984</v>
      </c>
      <c r="BK765" t="s">
        <v>96</v>
      </c>
      <c r="BL765" t="s">
        <v>2985</v>
      </c>
      <c r="BM765" t="s">
        <v>9754</v>
      </c>
      <c r="BN765" t="s">
        <v>74</v>
      </c>
      <c r="BO765" t="s">
        <v>74</v>
      </c>
      <c r="BP765" t="s">
        <v>74</v>
      </c>
      <c r="BQ765" t="s">
        <v>74</v>
      </c>
      <c r="BR765" t="s">
        <v>99</v>
      </c>
      <c r="BS765" t="s">
        <v>9896</v>
      </c>
      <c r="BT765" t="str">
        <f>HYPERLINK("https%3A%2F%2Fwww.webofscience.com%2Fwos%2Fwoscc%2Ffull-record%2FWOS:000084414000015","View Full Record in Web of Science")</f>
        <v>View Full Record in Web of Science</v>
      </c>
    </row>
    <row r="766" spans="1:72" x14ac:dyDescent="0.15">
      <c r="A766" t="s">
        <v>72</v>
      </c>
      <c r="B766" t="s">
        <v>9897</v>
      </c>
      <c r="C766" t="s">
        <v>74</v>
      </c>
      <c r="D766" t="s">
        <v>74</v>
      </c>
      <c r="E766" t="s">
        <v>74</v>
      </c>
      <c r="F766" t="s">
        <v>9897</v>
      </c>
      <c r="G766" t="s">
        <v>74</v>
      </c>
      <c r="H766" t="s">
        <v>74</v>
      </c>
      <c r="I766" t="s">
        <v>9898</v>
      </c>
      <c r="J766" t="s">
        <v>9899</v>
      </c>
      <c r="K766" t="s">
        <v>74</v>
      </c>
      <c r="L766" t="s">
        <v>74</v>
      </c>
      <c r="M766" t="s">
        <v>77</v>
      </c>
      <c r="N766" t="s">
        <v>254</v>
      </c>
      <c r="O766" t="s">
        <v>74</v>
      </c>
      <c r="P766" t="s">
        <v>74</v>
      </c>
      <c r="Q766" t="s">
        <v>74</v>
      </c>
      <c r="R766" t="s">
        <v>74</v>
      </c>
      <c r="S766" t="s">
        <v>74</v>
      </c>
      <c r="T766" t="s">
        <v>9900</v>
      </c>
      <c r="U766" t="s">
        <v>9901</v>
      </c>
      <c r="V766" t="s">
        <v>9902</v>
      </c>
      <c r="W766" t="s">
        <v>9903</v>
      </c>
      <c r="X766" t="s">
        <v>2279</v>
      </c>
      <c r="Y766" t="s">
        <v>9904</v>
      </c>
      <c r="Z766" t="s">
        <v>9905</v>
      </c>
      <c r="AA766" t="s">
        <v>74</v>
      </c>
      <c r="AB766" t="s">
        <v>74</v>
      </c>
      <c r="AC766" t="s">
        <v>74</v>
      </c>
      <c r="AD766" t="s">
        <v>74</v>
      </c>
      <c r="AE766" t="s">
        <v>74</v>
      </c>
      <c r="AF766" t="s">
        <v>74</v>
      </c>
      <c r="AG766">
        <v>140</v>
      </c>
      <c r="AH766">
        <v>90</v>
      </c>
      <c r="AI766">
        <v>113</v>
      </c>
      <c r="AJ766">
        <v>2</v>
      </c>
      <c r="AK766">
        <v>57</v>
      </c>
      <c r="AL766" t="s">
        <v>9906</v>
      </c>
      <c r="AM766" t="s">
        <v>9907</v>
      </c>
      <c r="AN766" t="s">
        <v>9908</v>
      </c>
      <c r="AO766" t="s">
        <v>9909</v>
      </c>
      <c r="AP766" t="s">
        <v>9910</v>
      </c>
      <c r="AQ766" t="s">
        <v>74</v>
      </c>
      <c r="AR766" t="s">
        <v>9911</v>
      </c>
      <c r="AS766" t="s">
        <v>9912</v>
      </c>
      <c r="AT766" t="s">
        <v>9913</v>
      </c>
      <c r="AU766">
        <v>1999</v>
      </c>
      <c r="AV766">
        <v>12</v>
      </c>
      <c r="AW766">
        <v>2</v>
      </c>
      <c r="AX766" t="s">
        <v>74</v>
      </c>
      <c r="AY766" t="s">
        <v>74</v>
      </c>
      <c r="AZ766" t="s">
        <v>74</v>
      </c>
      <c r="BA766" t="s">
        <v>74</v>
      </c>
      <c r="BB766">
        <v>105</v>
      </c>
      <c r="BC766">
        <v>120</v>
      </c>
      <c r="BD766" t="s">
        <v>74</v>
      </c>
      <c r="BE766" t="s">
        <v>9914</v>
      </c>
      <c r="BF766" t="str">
        <f>HYPERLINK("http://dx.doi.org/10.1016/S0990-7440(99)80020-5","http://dx.doi.org/10.1016/S0990-7440(99)80020-5")</f>
        <v>http://dx.doi.org/10.1016/S0990-7440(99)80020-5</v>
      </c>
      <c r="BG766" t="s">
        <v>74</v>
      </c>
      <c r="BH766" t="s">
        <v>74</v>
      </c>
      <c r="BI766">
        <v>16</v>
      </c>
      <c r="BJ766" t="s">
        <v>728</v>
      </c>
      <c r="BK766" t="s">
        <v>96</v>
      </c>
      <c r="BL766" t="s">
        <v>728</v>
      </c>
      <c r="BM766" t="s">
        <v>9915</v>
      </c>
      <c r="BN766" t="s">
        <v>74</v>
      </c>
      <c r="BO766" t="s">
        <v>1214</v>
      </c>
      <c r="BP766" t="s">
        <v>74</v>
      </c>
      <c r="BQ766" t="s">
        <v>74</v>
      </c>
      <c r="BR766" t="s">
        <v>99</v>
      </c>
      <c r="BS766" t="s">
        <v>9916</v>
      </c>
      <c r="BT766" t="str">
        <f>HYPERLINK("https%3A%2F%2Fwww.webofscience.com%2Fwos%2Fwoscc%2Ffull-record%2FWOS:000080775100003","View Full Record in Web of Science")</f>
        <v>View Full Record in Web of Science</v>
      </c>
    </row>
    <row r="767" spans="1:72" x14ac:dyDescent="0.15">
      <c r="A767" t="s">
        <v>72</v>
      </c>
      <c r="B767" t="s">
        <v>9917</v>
      </c>
      <c r="C767" t="s">
        <v>74</v>
      </c>
      <c r="D767" t="s">
        <v>74</v>
      </c>
      <c r="E767" t="s">
        <v>74</v>
      </c>
      <c r="F767" t="s">
        <v>9917</v>
      </c>
      <c r="G767" t="s">
        <v>74</v>
      </c>
      <c r="H767" t="s">
        <v>74</v>
      </c>
      <c r="I767" t="s">
        <v>7358</v>
      </c>
      <c r="J767" t="s">
        <v>9918</v>
      </c>
      <c r="K767" t="s">
        <v>74</v>
      </c>
      <c r="L767" t="s">
        <v>74</v>
      </c>
      <c r="M767" t="s">
        <v>77</v>
      </c>
      <c r="N767" t="s">
        <v>9252</v>
      </c>
      <c r="O767" t="s">
        <v>74</v>
      </c>
      <c r="P767" t="s">
        <v>74</v>
      </c>
      <c r="Q767" t="s">
        <v>74</v>
      </c>
      <c r="R767" t="s">
        <v>74</v>
      </c>
      <c r="S767" t="s">
        <v>74</v>
      </c>
      <c r="T767" t="s">
        <v>74</v>
      </c>
      <c r="U767" t="s">
        <v>74</v>
      </c>
      <c r="V767" t="s">
        <v>74</v>
      </c>
      <c r="W767" t="s">
        <v>74</v>
      </c>
      <c r="X767" t="s">
        <v>74</v>
      </c>
      <c r="Y767" t="s">
        <v>74</v>
      </c>
      <c r="Z767" t="s">
        <v>74</v>
      </c>
      <c r="AA767" t="s">
        <v>74</v>
      </c>
      <c r="AB767" t="s">
        <v>74</v>
      </c>
      <c r="AC767" t="s">
        <v>74</v>
      </c>
      <c r="AD767" t="s">
        <v>74</v>
      </c>
      <c r="AE767" t="s">
        <v>74</v>
      </c>
      <c r="AF767" t="s">
        <v>74</v>
      </c>
      <c r="AG767">
        <v>3</v>
      </c>
      <c r="AH767">
        <v>0</v>
      </c>
      <c r="AI767">
        <v>0</v>
      </c>
      <c r="AJ767">
        <v>0</v>
      </c>
      <c r="AK767">
        <v>0</v>
      </c>
      <c r="AL767" t="s">
        <v>9919</v>
      </c>
      <c r="AM767" t="s">
        <v>554</v>
      </c>
      <c r="AN767" t="s">
        <v>9920</v>
      </c>
      <c r="AO767" t="s">
        <v>9921</v>
      </c>
      <c r="AP767" t="s">
        <v>74</v>
      </c>
      <c r="AQ767" t="s">
        <v>74</v>
      </c>
      <c r="AR767" t="s">
        <v>9922</v>
      </c>
      <c r="AS767" t="s">
        <v>9923</v>
      </c>
      <c r="AT767" t="s">
        <v>9735</v>
      </c>
      <c r="AU767">
        <v>1999</v>
      </c>
      <c r="AV767">
        <v>98</v>
      </c>
      <c r="AW767">
        <v>3</v>
      </c>
      <c r="AX767" t="s">
        <v>74</v>
      </c>
      <c r="AY767" t="s">
        <v>74</v>
      </c>
      <c r="AZ767" t="s">
        <v>74</v>
      </c>
      <c r="BA767" t="s">
        <v>74</v>
      </c>
      <c r="BB767">
        <v>34</v>
      </c>
      <c r="BC767">
        <v>34</v>
      </c>
      <c r="BD767" t="s">
        <v>74</v>
      </c>
      <c r="BE767" t="s">
        <v>74</v>
      </c>
      <c r="BF767" t="s">
        <v>74</v>
      </c>
      <c r="BG767" t="s">
        <v>74</v>
      </c>
      <c r="BH767" t="s">
        <v>74</v>
      </c>
      <c r="BI767">
        <v>1</v>
      </c>
      <c r="BJ767" t="s">
        <v>9258</v>
      </c>
      <c r="BK767" t="s">
        <v>1281</v>
      </c>
      <c r="BL767" t="s">
        <v>9258</v>
      </c>
      <c r="BM767" t="s">
        <v>9924</v>
      </c>
      <c r="BN767" t="s">
        <v>74</v>
      </c>
      <c r="BO767" t="s">
        <v>74</v>
      </c>
      <c r="BP767" t="s">
        <v>74</v>
      </c>
      <c r="BQ767" t="s">
        <v>74</v>
      </c>
      <c r="BR767" t="s">
        <v>99</v>
      </c>
      <c r="BS767" t="s">
        <v>9925</v>
      </c>
      <c r="BT767" t="str">
        <f>HYPERLINK("https%3A%2F%2Fwww.webofscience.com%2Fwos%2Fwoscc%2Ffull-record%2FWOS:000078881900007","View Full Record in Web of Science")</f>
        <v>View Full Record in Web of Science</v>
      </c>
    </row>
    <row r="768" spans="1:72" x14ac:dyDescent="0.15">
      <c r="A768" t="s">
        <v>72</v>
      </c>
      <c r="B768" t="s">
        <v>9926</v>
      </c>
      <c r="C768" t="s">
        <v>74</v>
      </c>
      <c r="D768" t="s">
        <v>74</v>
      </c>
      <c r="E768" t="s">
        <v>74</v>
      </c>
      <c r="F768" t="s">
        <v>9926</v>
      </c>
      <c r="G768" t="s">
        <v>74</v>
      </c>
      <c r="H768" t="s">
        <v>74</v>
      </c>
      <c r="I768" t="s">
        <v>9927</v>
      </c>
      <c r="J768" t="s">
        <v>9928</v>
      </c>
      <c r="K768" t="s">
        <v>74</v>
      </c>
      <c r="L768" t="s">
        <v>74</v>
      </c>
      <c r="M768" t="s">
        <v>77</v>
      </c>
      <c r="N768" t="s">
        <v>78</v>
      </c>
      <c r="O768" t="s">
        <v>74</v>
      </c>
      <c r="P768" t="s">
        <v>74</v>
      </c>
      <c r="Q768" t="s">
        <v>74</v>
      </c>
      <c r="R768" t="s">
        <v>74</v>
      </c>
      <c r="S768" t="s">
        <v>74</v>
      </c>
      <c r="T768" t="s">
        <v>74</v>
      </c>
      <c r="U768" t="s">
        <v>9929</v>
      </c>
      <c r="V768" t="s">
        <v>74</v>
      </c>
      <c r="W768" t="s">
        <v>9930</v>
      </c>
      <c r="X768" t="s">
        <v>2279</v>
      </c>
      <c r="Y768" t="s">
        <v>9931</v>
      </c>
      <c r="Z768" t="s">
        <v>74</v>
      </c>
      <c r="AA768" t="s">
        <v>74</v>
      </c>
      <c r="AB768" t="s">
        <v>74</v>
      </c>
      <c r="AC768" t="s">
        <v>74</v>
      </c>
      <c r="AD768" t="s">
        <v>74</v>
      </c>
      <c r="AE768" t="s">
        <v>74</v>
      </c>
      <c r="AF768" t="s">
        <v>74</v>
      </c>
      <c r="AG768">
        <v>39</v>
      </c>
      <c r="AH768">
        <v>33</v>
      </c>
      <c r="AI768">
        <v>36</v>
      </c>
      <c r="AJ768">
        <v>0</v>
      </c>
      <c r="AK768">
        <v>6</v>
      </c>
      <c r="AL768" t="s">
        <v>9932</v>
      </c>
      <c r="AM768" t="s">
        <v>9933</v>
      </c>
      <c r="AN768" t="s">
        <v>9934</v>
      </c>
      <c r="AO768" t="s">
        <v>9935</v>
      </c>
      <c r="AP768" t="s">
        <v>74</v>
      </c>
      <c r="AQ768" t="s">
        <v>74</v>
      </c>
      <c r="AR768" t="s">
        <v>9936</v>
      </c>
      <c r="AS768" t="s">
        <v>9937</v>
      </c>
      <c r="AT768" t="s">
        <v>9735</v>
      </c>
      <c r="AU768">
        <v>1999</v>
      </c>
      <c r="AV768">
        <v>77</v>
      </c>
      <c r="AW768">
        <v>3</v>
      </c>
      <c r="AX768" t="s">
        <v>74</v>
      </c>
      <c r="AY768" t="s">
        <v>74</v>
      </c>
      <c r="AZ768" t="s">
        <v>74</v>
      </c>
      <c r="BA768" t="s">
        <v>74</v>
      </c>
      <c r="BB768">
        <v>181</v>
      </c>
      <c r="BC768">
        <v>185</v>
      </c>
      <c r="BD768" t="s">
        <v>74</v>
      </c>
      <c r="BE768" t="s">
        <v>9938</v>
      </c>
      <c r="BF768" t="str">
        <f>HYPERLINK("http://dx.doi.org/10.1111/j.1751-0813.1999.tb11231.x","http://dx.doi.org/10.1111/j.1751-0813.1999.tb11231.x")</f>
        <v>http://dx.doi.org/10.1111/j.1751-0813.1999.tb11231.x</v>
      </c>
      <c r="BG768" t="s">
        <v>74</v>
      </c>
      <c r="BH768" t="s">
        <v>74</v>
      </c>
      <c r="BI768">
        <v>5</v>
      </c>
      <c r="BJ768" t="s">
        <v>7032</v>
      </c>
      <c r="BK768" t="s">
        <v>96</v>
      </c>
      <c r="BL768" t="s">
        <v>7032</v>
      </c>
      <c r="BM768" t="s">
        <v>9939</v>
      </c>
      <c r="BN768">
        <v>10197248</v>
      </c>
      <c r="BO768" t="s">
        <v>74</v>
      </c>
      <c r="BP768" t="s">
        <v>74</v>
      </c>
      <c r="BQ768" t="s">
        <v>74</v>
      </c>
      <c r="BR768" t="s">
        <v>99</v>
      </c>
      <c r="BS768" t="s">
        <v>9940</v>
      </c>
      <c r="BT768" t="str">
        <f>HYPERLINK("https%3A%2F%2Fwww.webofscience.com%2Fwos%2Fwoscc%2Ffull-record%2FWOS:000079230900032","View Full Record in Web of Science")</f>
        <v>View Full Record in Web of Science</v>
      </c>
    </row>
    <row r="769" spans="1:72" x14ac:dyDescent="0.15">
      <c r="A769" t="s">
        <v>72</v>
      </c>
      <c r="B769" t="s">
        <v>9941</v>
      </c>
      <c r="C769" t="s">
        <v>74</v>
      </c>
      <c r="D769" t="s">
        <v>74</v>
      </c>
      <c r="E769" t="s">
        <v>74</v>
      </c>
      <c r="F769" t="s">
        <v>9941</v>
      </c>
      <c r="G769" t="s">
        <v>74</v>
      </c>
      <c r="H769" t="s">
        <v>74</v>
      </c>
      <c r="I769" t="s">
        <v>9942</v>
      </c>
      <c r="J769" t="s">
        <v>9943</v>
      </c>
      <c r="K769" t="s">
        <v>74</v>
      </c>
      <c r="L769" t="s">
        <v>74</v>
      </c>
      <c r="M769" t="s">
        <v>77</v>
      </c>
      <c r="N769" t="s">
        <v>78</v>
      </c>
      <c r="O769" t="s">
        <v>74</v>
      </c>
      <c r="P769" t="s">
        <v>74</v>
      </c>
      <c r="Q769" t="s">
        <v>74</v>
      </c>
      <c r="R769" t="s">
        <v>74</v>
      </c>
      <c r="S769" t="s">
        <v>74</v>
      </c>
      <c r="T769" t="s">
        <v>9944</v>
      </c>
      <c r="U769" t="s">
        <v>74</v>
      </c>
      <c r="V769" t="s">
        <v>9945</v>
      </c>
      <c r="W769" t="s">
        <v>9946</v>
      </c>
      <c r="X769" t="s">
        <v>9947</v>
      </c>
      <c r="Y769" t="s">
        <v>9948</v>
      </c>
      <c r="Z769" t="s">
        <v>74</v>
      </c>
      <c r="AA769" t="s">
        <v>9949</v>
      </c>
      <c r="AB769" t="s">
        <v>9950</v>
      </c>
      <c r="AC769" t="s">
        <v>74</v>
      </c>
      <c r="AD769" t="s">
        <v>74</v>
      </c>
      <c r="AE769" t="s">
        <v>74</v>
      </c>
      <c r="AF769" t="s">
        <v>74</v>
      </c>
      <c r="AG769">
        <v>12</v>
      </c>
      <c r="AH769">
        <v>16</v>
      </c>
      <c r="AI769">
        <v>16</v>
      </c>
      <c r="AJ769">
        <v>0</v>
      </c>
      <c r="AK769">
        <v>3</v>
      </c>
      <c r="AL769" t="s">
        <v>9951</v>
      </c>
      <c r="AM769" t="s">
        <v>9952</v>
      </c>
      <c r="AN769" t="s">
        <v>9953</v>
      </c>
      <c r="AO769" t="s">
        <v>9954</v>
      </c>
      <c r="AP769" t="s">
        <v>74</v>
      </c>
      <c r="AQ769" t="s">
        <v>74</v>
      </c>
      <c r="AR769" t="s">
        <v>9955</v>
      </c>
      <c r="AS769" t="s">
        <v>9956</v>
      </c>
      <c r="AT769" t="s">
        <v>9735</v>
      </c>
      <c r="AU769">
        <v>1999</v>
      </c>
      <c r="AV769">
        <v>70</v>
      </c>
      <c r="AW769">
        <v>3</v>
      </c>
      <c r="AX769" t="s">
        <v>74</v>
      </c>
      <c r="AY769" t="s">
        <v>74</v>
      </c>
      <c r="AZ769" t="s">
        <v>74</v>
      </c>
      <c r="BA769" t="s">
        <v>74</v>
      </c>
      <c r="BB769">
        <v>230</v>
      </c>
      <c r="BC769">
        <v>235</v>
      </c>
      <c r="BD769" t="s">
        <v>74</v>
      </c>
      <c r="BE769" t="s">
        <v>74</v>
      </c>
      <c r="BF769" t="s">
        <v>74</v>
      </c>
      <c r="BG769" t="s">
        <v>74</v>
      </c>
      <c r="BH769" t="s">
        <v>74</v>
      </c>
      <c r="BI769">
        <v>6</v>
      </c>
      <c r="BJ769" t="s">
        <v>9957</v>
      </c>
      <c r="BK769" t="s">
        <v>96</v>
      </c>
      <c r="BL769" t="s">
        <v>9958</v>
      </c>
      <c r="BM769" t="s">
        <v>9959</v>
      </c>
      <c r="BN769">
        <v>10102734</v>
      </c>
      <c r="BO769" t="s">
        <v>74</v>
      </c>
      <c r="BP769" t="s">
        <v>74</v>
      </c>
      <c r="BQ769" t="s">
        <v>74</v>
      </c>
      <c r="BR769" t="s">
        <v>99</v>
      </c>
      <c r="BS769" t="s">
        <v>9960</v>
      </c>
      <c r="BT769" t="str">
        <f>HYPERLINK("https%3A%2F%2Fwww.webofscience.com%2Fwos%2Fwoscc%2Ffull-record%2FWOS:000079015400005","View Full Record in Web of Science")</f>
        <v>View Full Record in Web of Science</v>
      </c>
    </row>
    <row r="770" spans="1:72" x14ac:dyDescent="0.15">
      <c r="A770" t="s">
        <v>72</v>
      </c>
      <c r="B770" t="s">
        <v>9961</v>
      </c>
      <c r="C770" t="s">
        <v>74</v>
      </c>
      <c r="D770" t="s">
        <v>74</v>
      </c>
      <c r="E770" t="s">
        <v>74</v>
      </c>
      <c r="F770" t="s">
        <v>9961</v>
      </c>
      <c r="G770" t="s">
        <v>74</v>
      </c>
      <c r="H770" t="s">
        <v>74</v>
      </c>
      <c r="I770" t="s">
        <v>9962</v>
      </c>
      <c r="J770" t="s">
        <v>9963</v>
      </c>
      <c r="K770" t="s">
        <v>74</v>
      </c>
      <c r="L770" t="s">
        <v>74</v>
      </c>
      <c r="M770" t="s">
        <v>77</v>
      </c>
      <c r="N770" t="s">
        <v>78</v>
      </c>
      <c r="O770" t="s">
        <v>74</v>
      </c>
      <c r="P770" t="s">
        <v>74</v>
      </c>
      <c r="Q770" t="s">
        <v>74</v>
      </c>
      <c r="R770" t="s">
        <v>74</v>
      </c>
      <c r="S770" t="s">
        <v>74</v>
      </c>
      <c r="T770" t="s">
        <v>9964</v>
      </c>
      <c r="U770" t="s">
        <v>9965</v>
      </c>
      <c r="V770" t="s">
        <v>9966</v>
      </c>
      <c r="W770" t="s">
        <v>151</v>
      </c>
      <c r="X770" t="s">
        <v>131</v>
      </c>
      <c r="Y770" t="s">
        <v>6249</v>
      </c>
      <c r="Z770" t="s">
        <v>9967</v>
      </c>
      <c r="AA770" t="s">
        <v>74</v>
      </c>
      <c r="AB770" t="s">
        <v>74</v>
      </c>
      <c r="AC770" t="s">
        <v>74</v>
      </c>
      <c r="AD770" t="s">
        <v>74</v>
      </c>
      <c r="AE770" t="s">
        <v>74</v>
      </c>
      <c r="AF770" t="s">
        <v>74</v>
      </c>
      <c r="AG770">
        <v>67</v>
      </c>
      <c r="AH770">
        <v>116</v>
      </c>
      <c r="AI770">
        <v>132</v>
      </c>
      <c r="AJ770">
        <v>0</v>
      </c>
      <c r="AK770">
        <v>27</v>
      </c>
      <c r="AL770" t="s">
        <v>7849</v>
      </c>
      <c r="AM770" t="s">
        <v>7850</v>
      </c>
      <c r="AN770" t="s">
        <v>7851</v>
      </c>
      <c r="AO770" t="s">
        <v>9968</v>
      </c>
      <c r="AP770" t="s">
        <v>9969</v>
      </c>
      <c r="AQ770" t="s">
        <v>74</v>
      </c>
      <c r="AR770" t="s">
        <v>9970</v>
      </c>
      <c r="AS770" t="s">
        <v>9971</v>
      </c>
      <c r="AT770" t="s">
        <v>9913</v>
      </c>
      <c r="AU770">
        <v>1999</v>
      </c>
      <c r="AV770">
        <v>10</v>
      </c>
      <c r="AW770">
        <v>2</v>
      </c>
      <c r="AX770" t="s">
        <v>74</v>
      </c>
      <c r="AY770" t="s">
        <v>74</v>
      </c>
      <c r="AZ770" t="s">
        <v>74</v>
      </c>
      <c r="BA770" t="s">
        <v>74</v>
      </c>
      <c r="BB770">
        <v>198</v>
      </c>
      <c r="BC770">
        <v>208</v>
      </c>
      <c r="BD770" t="s">
        <v>74</v>
      </c>
      <c r="BE770" t="s">
        <v>9972</v>
      </c>
      <c r="BF770" t="str">
        <f>HYPERLINK("http://dx.doi.org/10.1093/beheco/10.2.198","http://dx.doi.org/10.1093/beheco/10.2.198")</f>
        <v>http://dx.doi.org/10.1093/beheco/10.2.198</v>
      </c>
      <c r="BG770" t="s">
        <v>74</v>
      </c>
      <c r="BH770" t="s">
        <v>74</v>
      </c>
      <c r="BI770">
        <v>11</v>
      </c>
      <c r="BJ770" t="s">
        <v>9973</v>
      </c>
      <c r="BK770" t="s">
        <v>96</v>
      </c>
      <c r="BL770" t="s">
        <v>9974</v>
      </c>
      <c r="BM770" t="s">
        <v>9975</v>
      </c>
      <c r="BN770" t="s">
        <v>74</v>
      </c>
      <c r="BO770" t="s">
        <v>250</v>
      </c>
      <c r="BP770" t="s">
        <v>74</v>
      </c>
      <c r="BQ770" t="s">
        <v>74</v>
      </c>
      <c r="BR770" t="s">
        <v>99</v>
      </c>
      <c r="BS770" t="s">
        <v>9976</v>
      </c>
      <c r="BT770" t="str">
        <f>HYPERLINK("https%3A%2F%2Fwww.webofscience.com%2Fwos%2Fwoscc%2Ffull-record%2FWOS:000079642600013","View Full Record in Web of Science")</f>
        <v>View Full Record in Web of Science</v>
      </c>
    </row>
    <row r="771" spans="1:72" x14ac:dyDescent="0.15">
      <c r="A771" t="s">
        <v>72</v>
      </c>
      <c r="B771" t="s">
        <v>9977</v>
      </c>
      <c r="C771" t="s">
        <v>74</v>
      </c>
      <c r="D771" t="s">
        <v>74</v>
      </c>
      <c r="E771" t="s">
        <v>74</v>
      </c>
      <c r="F771" t="s">
        <v>9977</v>
      </c>
      <c r="G771" t="s">
        <v>74</v>
      </c>
      <c r="H771" t="s">
        <v>74</v>
      </c>
      <c r="I771" t="s">
        <v>9978</v>
      </c>
      <c r="J771" t="s">
        <v>9979</v>
      </c>
      <c r="K771" t="s">
        <v>74</v>
      </c>
      <c r="L771" t="s">
        <v>74</v>
      </c>
      <c r="M771" t="s">
        <v>77</v>
      </c>
      <c r="N771" t="s">
        <v>78</v>
      </c>
      <c r="O771" t="s">
        <v>74</v>
      </c>
      <c r="P771" t="s">
        <v>74</v>
      </c>
      <c r="Q771" t="s">
        <v>74</v>
      </c>
      <c r="R771" t="s">
        <v>74</v>
      </c>
      <c r="S771" t="s">
        <v>74</v>
      </c>
      <c r="T771" t="s">
        <v>74</v>
      </c>
      <c r="U771" t="s">
        <v>9980</v>
      </c>
      <c r="V771" t="s">
        <v>9981</v>
      </c>
      <c r="W771" t="s">
        <v>9982</v>
      </c>
      <c r="X771" t="s">
        <v>9983</v>
      </c>
      <c r="Y771" t="s">
        <v>9984</v>
      </c>
      <c r="Z771" t="s">
        <v>74</v>
      </c>
      <c r="AA771" t="s">
        <v>9985</v>
      </c>
      <c r="AB771" t="s">
        <v>9986</v>
      </c>
      <c r="AC771" t="s">
        <v>74</v>
      </c>
      <c r="AD771" t="s">
        <v>74</v>
      </c>
      <c r="AE771" t="s">
        <v>74</v>
      </c>
      <c r="AF771" t="s">
        <v>74</v>
      </c>
      <c r="AG771">
        <v>36</v>
      </c>
      <c r="AH771">
        <v>61</v>
      </c>
      <c r="AI771">
        <v>63</v>
      </c>
      <c r="AJ771">
        <v>0</v>
      </c>
      <c r="AK771">
        <v>1</v>
      </c>
      <c r="AL771" t="s">
        <v>9987</v>
      </c>
      <c r="AM771" t="s">
        <v>9988</v>
      </c>
      <c r="AN771" t="s">
        <v>9989</v>
      </c>
      <c r="AO771" t="s">
        <v>9990</v>
      </c>
      <c r="AP771" t="s">
        <v>74</v>
      </c>
      <c r="AQ771" t="s">
        <v>74</v>
      </c>
      <c r="AR771" t="s">
        <v>9979</v>
      </c>
      <c r="AS771" t="s">
        <v>9991</v>
      </c>
      <c r="AT771" t="s">
        <v>9735</v>
      </c>
      <c r="AU771">
        <v>1999</v>
      </c>
      <c r="AV771">
        <v>28</v>
      </c>
      <c r="AW771">
        <v>1</v>
      </c>
      <c r="AX771" t="s">
        <v>74</v>
      </c>
      <c r="AY771" t="s">
        <v>74</v>
      </c>
      <c r="AZ771" t="s">
        <v>74</v>
      </c>
      <c r="BA771" t="s">
        <v>74</v>
      </c>
      <c r="BB771">
        <v>92</v>
      </c>
      <c r="BC771">
        <v>114</v>
      </c>
      <c r="BD771" t="s">
        <v>74</v>
      </c>
      <c r="BE771" t="s">
        <v>74</v>
      </c>
      <c r="BF771" t="s">
        <v>74</v>
      </c>
      <c r="BG771" t="s">
        <v>74</v>
      </c>
      <c r="BH771" t="s">
        <v>74</v>
      </c>
      <c r="BI771">
        <v>23</v>
      </c>
      <c r="BJ771" t="s">
        <v>2151</v>
      </c>
      <c r="BK771" t="s">
        <v>96</v>
      </c>
      <c r="BL771" t="s">
        <v>2152</v>
      </c>
      <c r="BM771" t="s">
        <v>9992</v>
      </c>
      <c r="BN771" t="s">
        <v>74</v>
      </c>
      <c r="BO771" t="s">
        <v>74</v>
      </c>
      <c r="BP771" t="s">
        <v>74</v>
      </c>
      <c r="BQ771" t="s">
        <v>74</v>
      </c>
      <c r="BR771" t="s">
        <v>99</v>
      </c>
      <c r="BS771" t="s">
        <v>9993</v>
      </c>
      <c r="BT771" t="str">
        <f>HYPERLINK("https%3A%2F%2Fwww.webofscience.com%2Fwos%2Fwoscc%2Ffull-record%2FWOS:000079855300007","View Full Record in Web of Science")</f>
        <v>View Full Record in Web of Science</v>
      </c>
    </row>
    <row r="772" spans="1:72" x14ac:dyDescent="0.15">
      <c r="A772" t="s">
        <v>72</v>
      </c>
      <c r="B772" t="s">
        <v>9994</v>
      </c>
      <c r="C772" t="s">
        <v>74</v>
      </c>
      <c r="D772" t="s">
        <v>74</v>
      </c>
      <c r="E772" t="s">
        <v>74</v>
      </c>
      <c r="F772" t="s">
        <v>9994</v>
      </c>
      <c r="G772" t="s">
        <v>74</v>
      </c>
      <c r="H772" t="s">
        <v>74</v>
      </c>
      <c r="I772" t="s">
        <v>9995</v>
      </c>
      <c r="J772" t="s">
        <v>9979</v>
      </c>
      <c r="K772" t="s">
        <v>74</v>
      </c>
      <c r="L772" t="s">
        <v>74</v>
      </c>
      <c r="M772" t="s">
        <v>77</v>
      </c>
      <c r="N772" t="s">
        <v>78</v>
      </c>
      <c r="O772" t="s">
        <v>74</v>
      </c>
      <c r="P772" t="s">
        <v>74</v>
      </c>
      <c r="Q772" t="s">
        <v>74</v>
      </c>
      <c r="R772" t="s">
        <v>74</v>
      </c>
      <c r="S772" t="s">
        <v>74</v>
      </c>
      <c r="T772" t="s">
        <v>74</v>
      </c>
      <c r="U772" t="s">
        <v>9996</v>
      </c>
      <c r="V772" t="s">
        <v>9997</v>
      </c>
      <c r="W772" t="s">
        <v>9998</v>
      </c>
      <c r="X772" t="s">
        <v>9999</v>
      </c>
      <c r="Y772" t="s">
        <v>10000</v>
      </c>
      <c r="Z772" t="s">
        <v>10001</v>
      </c>
      <c r="AA772" t="s">
        <v>10002</v>
      </c>
      <c r="AB772" t="s">
        <v>10003</v>
      </c>
      <c r="AC772" t="s">
        <v>74</v>
      </c>
      <c r="AD772" t="s">
        <v>74</v>
      </c>
      <c r="AE772" t="s">
        <v>74</v>
      </c>
      <c r="AF772" t="s">
        <v>74</v>
      </c>
      <c r="AG772">
        <v>55</v>
      </c>
      <c r="AH772">
        <v>266</v>
      </c>
      <c r="AI772">
        <v>277</v>
      </c>
      <c r="AJ772">
        <v>0</v>
      </c>
      <c r="AK772">
        <v>22</v>
      </c>
      <c r="AL772" t="s">
        <v>997</v>
      </c>
      <c r="AM772" t="s">
        <v>998</v>
      </c>
      <c r="AN772" t="s">
        <v>999</v>
      </c>
      <c r="AO772" t="s">
        <v>9990</v>
      </c>
      <c r="AP772" t="s">
        <v>10004</v>
      </c>
      <c r="AQ772" t="s">
        <v>74</v>
      </c>
      <c r="AR772" t="s">
        <v>9979</v>
      </c>
      <c r="AS772" t="s">
        <v>9991</v>
      </c>
      <c r="AT772" t="s">
        <v>9735</v>
      </c>
      <c r="AU772">
        <v>1999</v>
      </c>
      <c r="AV772">
        <v>28</v>
      </c>
      <c r="AW772">
        <v>1</v>
      </c>
      <c r="AX772" t="s">
        <v>74</v>
      </c>
      <c r="AY772" t="s">
        <v>74</v>
      </c>
      <c r="AZ772" t="s">
        <v>74</v>
      </c>
      <c r="BA772" t="s">
        <v>74</v>
      </c>
      <c r="BB772">
        <v>234</v>
      </c>
      <c r="BC772">
        <v>242</v>
      </c>
      <c r="BD772" t="s">
        <v>74</v>
      </c>
      <c r="BE772" t="s">
        <v>10005</v>
      </c>
      <c r="BF772" t="str">
        <f>HYPERLINK("http://dx.doi.org/10.1111/j.1502-3885.1999.tb00217.x","http://dx.doi.org/10.1111/j.1502-3885.1999.tb00217.x")</f>
        <v>http://dx.doi.org/10.1111/j.1502-3885.1999.tb00217.x</v>
      </c>
      <c r="BG772" t="s">
        <v>74</v>
      </c>
      <c r="BH772" t="s">
        <v>74</v>
      </c>
      <c r="BI772">
        <v>9</v>
      </c>
      <c r="BJ772" t="s">
        <v>2151</v>
      </c>
      <c r="BK772" t="s">
        <v>96</v>
      </c>
      <c r="BL772" t="s">
        <v>2152</v>
      </c>
      <c r="BM772" t="s">
        <v>9992</v>
      </c>
      <c r="BN772" t="s">
        <v>74</v>
      </c>
      <c r="BO772" t="s">
        <v>74</v>
      </c>
      <c r="BP772" t="s">
        <v>74</v>
      </c>
      <c r="BQ772" t="s">
        <v>74</v>
      </c>
      <c r="BR772" t="s">
        <v>99</v>
      </c>
      <c r="BS772" t="s">
        <v>10006</v>
      </c>
      <c r="BT772" t="str">
        <f>HYPERLINK("https%3A%2F%2Fwww.webofscience.com%2Fwos%2Fwoscc%2Ffull-record%2FWOS:000079855300016","View Full Record in Web of Science")</f>
        <v>View Full Record in Web of Science</v>
      </c>
    </row>
    <row r="773" spans="1:72" x14ac:dyDescent="0.15">
      <c r="A773" t="s">
        <v>72</v>
      </c>
      <c r="B773" t="s">
        <v>10007</v>
      </c>
      <c r="C773" t="s">
        <v>74</v>
      </c>
      <c r="D773" t="s">
        <v>74</v>
      </c>
      <c r="E773" t="s">
        <v>74</v>
      </c>
      <c r="F773" t="s">
        <v>10007</v>
      </c>
      <c r="G773" t="s">
        <v>74</v>
      </c>
      <c r="H773" t="s">
        <v>74</v>
      </c>
      <c r="I773" t="s">
        <v>10008</v>
      </c>
      <c r="J773" t="s">
        <v>715</v>
      </c>
      <c r="K773" t="s">
        <v>74</v>
      </c>
      <c r="L773" t="s">
        <v>74</v>
      </c>
      <c r="M773" t="s">
        <v>77</v>
      </c>
      <c r="N773" t="s">
        <v>78</v>
      </c>
      <c r="O773" t="s">
        <v>74</v>
      </c>
      <c r="P773" t="s">
        <v>74</v>
      </c>
      <c r="Q773" t="s">
        <v>74</v>
      </c>
      <c r="R773" t="s">
        <v>74</v>
      </c>
      <c r="S773" t="s">
        <v>74</v>
      </c>
      <c r="T773" t="s">
        <v>74</v>
      </c>
      <c r="U773" t="s">
        <v>10009</v>
      </c>
      <c r="V773" t="s">
        <v>10010</v>
      </c>
      <c r="W773" t="s">
        <v>10011</v>
      </c>
      <c r="X773" t="s">
        <v>10012</v>
      </c>
      <c r="Y773" t="s">
        <v>10013</v>
      </c>
      <c r="Z773" t="s">
        <v>10014</v>
      </c>
      <c r="AA773" t="s">
        <v>10015</v>
      </c>
      <c r="AB773" t="s">
        <v>10016</v>
      </c>
      <c r="AC773" t="s">
        <v>74</v>
      </c>
      <c r="AD773" t="s">
        <v>74</v>
      </c>
      <c r="AE773" t="s">
        <v>74</v>
      </c>
      <c r="AF773" t="s">
        <v>74</v>
      </c>
      <c r="AG773">
        <v>85</v>
      </c>
      <c r="AH773">
        <v>250</v>
      </c>
      <c r="AI773">
        <v>295</v>
      </c>
      <c r="AJ773">
        <v>2</v>
      </c>
      <c r="AK773">
        <v>50</v>
      </c>
      <c r="AL773" t="s">
        <v>5295</v>
      </c>
      <c r="AM773" t="s">
        <v>722</v>
      </c>
      <c r="AN773" t="s">
        <v>5296</v>
      </c>
      <c r="AO773" t="s">
        <v>724</v>
      </c>
      <c r="AP773" t="s">
        <v>10017</v>
      </c>
      <c r="AQ773" t="s">
        <v>74</v>
      </c>
      <c r="AR773" t="s">
        <v>725</v>
      </c>
      <c r="AS773" t="s">
        <v>726</v>
      </c>
      <c r="AT773" t="s">
        <v>9735</v>
      </c>
      <c r="AU773">
        <v>1999</v>
      </c>
      <c r="AV773">
        <v>56</v>
      </c>
      <c r="AW773">
        <v>3</v>
      </c>
      <c r="AX773" t="s">
        <v>74</v>
      </c>
      <c r="AY773" t="s">
        <v>74</v>
      </c>
      <c r="AZ773" t="s">
        <v>74</v>
      </c>
      <c r="BA773" t="s">
        <v>74</v>
      </c>
      <c r="BB773">
        <v>516</v>
      </c>
      <c r="BC773">
        <v>526</v>
      </c>
      <c r="BD773" t="s">
        <v>74</v>
      </c>
      <c r="BE773" t="s">
        <v>10018</v>
      </c>
      <c r="BF773" t="str">
        <f>HYPERLINK("http://dx.doi.org/10.1139/cjfas-56-3-516","http://dx.doi.org/10.1139/cjfas-56-3-516")</f>
        <v>http://dx.doi.org/10.1139/cjfas-56-3-516</v>
      </c>
      <c r="BG773" t="s">
        <v>74</v>
      </c>
      <c r="BH773" t="s">
        <v>74</v>
      </c>
      <c r="BI773">
        <v>11</v>
      </c>
      <c r="BJ773" t="s">
        <v>728</v>
      </c>
      <c r="BK773" t="s">
        <v>96</v>
      </c>
      <c r="BL773" t="s">
        <v>728</v>
      </c>
      <c r="BM773" t="s">
        <v>10019</v>
      </c>
      <c r="BN773" t="s">
        <v>74</v>
      </c>
      <c r="BO773" t="s">
        <v>74</v>
      </c>
      <c r="BP773" t="s">
        <v>74</v>
      </c>
      <c r="BQ773" t="s">
        <v>74</v>
      </c>
      <c r="BR773" t="s">
        <v>99</v>
      </c>
      <c r="BS773" t="s">
        <v>10020</v>
      </c>
      <c r="BT773" t="str">
        <f>HYPERLINK("https%3A%2F%2Fwww.webofscience.com%2Fwos%2Fwoscc%2Ffull-record%2FWOS:000081027800017","View Full Record in Web of Science")</f>
        <v>View Full Record in Web of Science</v>
      </c>
    </row>
    <row r="774" spans="1:72" x14ac:dyDescent="0.15">
      <c r="A774" t="s">
        <v>72</v>
      </c>
      <c r="B774" t="s">
        <v>10021</v>
      </c>
      <c r="C774" t="s">
        <v>74</v>
      </c>
      <c r="D774" t="s">
        <v>74</v>
      </c>
      <c r="E774" t="s">
        <v>74</v>
      </c>
      <c r="F774" t="s">
        <v>10021</v>
      </c>
      <c r="G774" t="s">
        <v>74</v>
      </c>
      <c r="H774" t="s">
        <v>74</v>
      </c>
      <c r="I774" t="s">
        <v>10022</v>
      </c>
      <c r="J774" t="s">
        <v>10023</v>
      </c>
      <c r="K774" t="s">
        <v>74</v>
      </c>
      <c r="L774" t="s">
        <v>74</v>
      </c>
      <c r="M774" t="s">
        <v>77</v>
      </c>
      <c r="N774" t="s">
        <v>78</v>
      </c>
      <c r="O774" t="s">
        <v>74</v>
      </c>
      <c r="P774" t="s">
        <v>74</v>
      </c>
      <c r="Q774" t="s">
        <v>74</v>
      </c>
      <c r="R774" t="s">
        <v>74</v>
      </c>
      <c r="S774" t="s">
        <v>74</v>
      </c>
      <c r="T774" t="s">
        <v>74</v>
      </c>
      <c r="U774" t="s">
        <v>10024</v>
      </c>
      <c r="V774" t="s">
        <v>10025</v>
      </c>
      <c r="W774" t="s">
        <v>10026</v>
      </c>
      <c r="X774" t="s">
        <v>10027</v>
      </c>
      <c r="Y774" t="s">
        <v>10028</v>
      </c>
      <c r="Z774" t="s">
        <v>74</v>
      </c>
      <c r="AA774" t="s">
        <v>74</v>
      </c>
      <c r="AB774" t="s">
        <v>74</v>
      </c>
      <c r="AC774" t="s">
        <v>74</v>
      </c>
      <c r="AD774" t="s">
        <v>74</v>
      </c>
      <c r="AE774" t="s">
        <v>74</v>
      </c>
      <c r="AF774" t="s">
        <v>74</v>
      </c>
      <c r="AG774">
        <v>13</v>
      </c>
      <c r="AH774">
        <v>2</v>
      </c>
      <c r="AI774">
        <v>2</v>
      </c>
      <c r="AJ774">
        <v>0</v>
      </c>
      <c r="AK774">
        <v>5</v>
      </c>
      <c r="AL774" t="s">
        <v>10029</v>
      </c>
      <c r="AM774" t="s">
        <v>2505</v>
      </c>
      <c r="AN774" t="s">
        <v>10030</v>
      </c>
      <c r="AO774" t="s">
        <v>10031</v>
      </c>
      <c r="AP774" t="s">
        <v>74</v>
      </c>
      <c r="AQ774" t="s">
        <v>74</v>
      </c>
      <c r="AR774" t="s">
        <v>10032</v>
      </c>
      <c r="AS774" t="s">
        <v>10033</v>
      </c>
      <c r="AT774" t="s">
        <v>9913</v>
      </c>
      <c r="AU774">
        <v>1999</v>
      </c>
      <c r="AV774">
        <v>20</v>
      </c>
      <c r="AW774">
        <v>2</v>
      </c>
      <c r="AX774" t="s">
        <v>74</v>
      </c>
      <c r="AY774" t="s">
        <v>74</v>
      </c>
      <c r="AZ774" t="s">
        <v>74</v>
      </c>
      <c r="BA774" t="s">
        <v>74</v>
      </c>
      <c r="BB774">
        <v>83</v>
      </c>
      <c r="BC774">
        <v>88</v>
      </c>
      <c r="BD774" t="s">
        <v>74</v>
      </c>
      <c r="BE774" t="s">
        <v>74</v>
      </c>
      <c r="BF774" t="s">
        <v>74</v>
      </c>
      <c r="BG774" t="s">
        <v>74</v>
      </c>
      <c r="BH774" t="s">
        <v>74</v>
      </c>
      <c r="BI774">
        <v>6</v>
      </c>
      <c r="BJ774" t="s">
        <v>10034</v>
      </c>
      <c r="BK774" t="s">
        <v>96</v>
      </c>
      <c r="BL774" t="s">
        <v>10035</v>
      </c>
      <c r="BM774" t="s">
        <v>10036</v>
      </c>
      <c r="BN774" t="s">
        <v>74</v>
      </c>
      <c r="BO774" t="s">
        <v>74</v>
      </c>
      <c r="BP774" t="s">
        <v>74</v>
      </c>
      <c r="BQ774" t="s">
        <v>74</v>
      </c>
      <c r="BR774" t="s">
        <v>99</v>
      </c>
      <c r="BS774" t="s">
        <v>10037</v>
      </c>
      <c r="BT774" t="str">
        <f>HYPERLINK("https%3A%2F%2Fwww.webofscience.com%2Fwos%2Fwoscc%2Ffull-record%2FWOS:000079679500004","View Full Record in Web of Science")</f>
        <v>View Full Record in Web of Science</v>
      </c>
    </row>
    <row r="775" spans="1:72" x14ac:dyDescent="0.15">
      <c r="A775" t="s">
        <v>72</v>
      </c>
      <c r="B775" t="s">
        <v>10038</v>
      </c>
      <c r="C775" t="s">
        <v>74</v>
      </c>
      <c r="D775" t="s">
        <v>74</v>
      </c>
      <c r="E775" t="s">
        <v>74</v>
      </c>
      <c r="F775" t="s">
        <v>10038</v>
      </c>
      <c r="G775" t="s">
        <v>74</v>
      </c>
      <c r="H775" t="s">
        <v>74</v>
      </c>
      <c r="I775" t="s">
        <v>10039</v>
      </c>
      <c r="J775" t="s">
        <v>10040</v>
      </c>
      <c r="K775" t="s">
        <v>74</v>
      </c>
      <c r="L775" t="s">
        <v>74</v>
      </c>
      <c r="M775" t="s">
        <v>77</v>
      </c>
      <c r="N775" t="s">
        <v>78</v>
      </c>
      <c r="O775" t="s">
        <v>74</v>
      </c>
      <c r="P775" t="s">
        <v>74</v>
      </c>
      <c r="Q775" t="s">
        <v>74</v>
      </c>
      <c r="R775" t="s">
        <v>74</v>
      </c>
      <c r="S775" t="s">
        <v>74</v>
      </c>
      <c r="T775" t="s">
        <v>10041</v>
      </c>
      <c r="U775" t="s">
        <v>10042</v>
      </c>
      <c r="V775" t="s">
        <v>10043</v>
      </c>
      <c r="W775" t="s">
        <v>10044</v>
      </c>
      <c r="X775" t="s">
        <v>10045</v>
      </c>
      <c r="Y775" t="s">
        <v>10046</v>
      </c>
      <c r="Z775" t="s">
        <v>74</v>
      </c>
      <c r="AA775" t="s">
        <v>10047</v>
      </c>
      <c r="AB775" t="s">
        <v>74</v>
      </c>
      <c r="AC775" t="s">
        <v>74</v>
      </c>
      <c r="AD775" t="s">
        <v>74</v>
      </c>
      <c r="AE775" t="s">
        <v>74</v>
      </c>
      <c r="AF775" t="s">
        <v>74</v>
      </c>
      <c r="AG775">
        <v>28</v>
      </c>
      <c r="AH775">
        <v>24</v>
      </c>
      <c r="AI775">
        <v>32</v>
      </c>
      <c r="AJ775">
        <v>1</v>
      </c>
      <c r="AK775">
        <v>10</v>
      </c>
      <c r="AL775" t="s">
        <v>10048</v>
      </c>
      <c r="AM775" t="s">
        <v>10049</v>
      </c>
      <c r="AN775" t="s">
        <v>10050</v>
      </c>
      <c r="AO775" t="s">
        <v>10051</v>
      </c>
      <c r="AP775" t="s">
        <v>74</v>
      </c>
      <c r="AQ775" t="s">
        <v>74</v>
      </c>
      <c r="AR775" t="s">
        <v>10040</v>
      </c>
      <c r="AS775" t="s">
        <v>10052</v>
      </c>
      <c r="AT775" t="s">
        <v>9735</v>
      </c>
      <c r="AU775">
        <v>1999</v>
      </c>
      <c r="AV775">
        <v>38</v>
      </c>
      <c r="AW775">
        <v>2</v>
      </c>
      <c r="AX775" t="s">
        <v>74</v>
      </c>
      <c r="AY775" t="s">
        <v>74</v>
      </c>
      <c r="AZ775" t="s">
        <v>74</v>
      </c>
      <c r="BA775" t="s">
        <v>74</v>
      </c>
      <c r="BB775">
        <v>131</v>
      </c>
      <c r="BC775">
        <v>139</v>
      </c>
      <c r="BD775" t="s">
        <v>74</v>
      </c>
      <c r="BE775" t="s">
        <v>10053</v>
      </c>
      <c r="BF775" t="str">
        <f>HYPERLINK("http://dx.doi.org/10.1006/cryo.1999.2156","http://dx.doi.org/10.1006/cryo.1999.2156")</f>
        <v>http://dx.doi.org/10.1006/cryo.1999.2156</v>
      </c>
      <c r="BG775" t="s">
        <v>74</v>
      </c>
      <c r="BH775" t="s">
        <v>74</v>
      </c>
      <c r="BI775">
        <v>9</v>
      </c>
      <c r="BJ775" t="s">
        <v>10034</v>
      </c>
      <c r="BK775" t="s">
        <v>96</v>
      </c>
      <c r="BL775" t="s">
        <v>10035</v>
      </c>
      <c r="BM775" t="s">
        <v>10054</v>
      </c>
      <c r="BN775">
        <v>10191036</v>
      </c>
      <c r="BO775" t="s">
        <v>74</v>
      </c>
      <c r="BP775" t="s">
        <v>74</v>
      </c>
      <c r="BQ775" t="s">
        <v>74</v>
      </c>
      <c r="BR775" t="s">
        <v>99</v>
      </c>
      <c r="BS775" t="s">
        <v>10055</v>
      </c>
      <c r="BT775" t="str">
        <f>HYPERLINK("https%3A%2F%2Fwww.webofscience.com%2Fwos%2Fwoscc%2Ffull-record%2FWOS:000079938400004","View Full Record in Web of Science")</f>
        <v>View Full Record in Web of Science</v>
      </c>
    </row>
    <row r="776" spans="1:72" x14ac:dyDescent="0.15">
      <c r="A776" t="s">
        <v>72</v>
      </c>
      <c r="B776" t="s">
        <v>10056</v>
      </c>
      <c r="C776" t="s">
        <v>74</v>
      </c>
      <c r="D776" t="s">
        <v>74</v>
      </c>
      <c r="E776" t="s">
        <v>74</v>
      </c>
      <c r="F776" t="s">
        <v>10056</v>
      </c>
      <c r="G776" t="s">
        <v>74</v>
      </c>
      <c r="H776" t="s">
        <v>74</v>
      </c>
      <c r="I776" t="s">
        <v>10057</v>
      </c>
      <c r="J776" t="s">
        <v>10058</v>
      </c>
      <c r="K776" t="s">
        <v>74</v>
      </c>
      <c r="L776" t="s">
        <v>74</v>
      </c>
      <c r="M776" t="s">
        <v>77</v>
      </c>
      <c r="N776" t="s">
        <v>78</v>
      </c>
      <c r="O776" t="s">
        <v>74</v>
      </c>
      <c r="P776" t="s">
        <v>74</v>
      </c>
      <c r="Q776" t="s">
        <v>74</v>
      </c>
      <c r="R776" t="s">
        <v>74</v>
      </c>
      <c r="S776" t="s">
        <v>74</v>
      </c>
      <c r="T776" t="s">
        <v>74</v>
      </c>
      <c r="U776" t="s">
        <v>10059</v>
      </c>
      <c r="V776" t="s">
        <v>10060</v>
      </c>
      <c r="W776" t="s">
        <v>6174</v>
      </c>
      <c r="X776" t="s">
        <v>6175</v>
      </c>
      <c r="Y776" t="s">
        <v>6176</v>
      </c>
      <c r="Z776" t="s">
        <v>74</v>
      </c>
      <c r="AA776" t="s">
        <v>74</v>
      </c>
      <c r="AB776" t="s">
        <v>10061</v>
      </c>
      <c r="AC776" t="s">
        <v>74</v>
      </c>
      <c r="AD776" t="s">
        <v>74</v>
      </c>
      <c r="AE776" t="s">
        <v>74</v>
      </c>
      <c r="AF776" t="s">
        <v>74</v>
      </c>
      <c r="AG776">
        <v>34</v>
      </c>
      <c r="AH776">
        <v>7</v>
      </c>
      <c r="AI776">
        <v>7</v>
      </c>
      <c r="AJ776">
        <v>0</v>
      </c>
      <c r="AK776">
        <v>2</v>
      </c>
      <c r="AL776" t="s">
        <v>705</v>
      </c>
      <c r="AM776" t="s">
        <v>554</v>
      </c>
      <c r="AN776" t="s">
        <v>706</v>
      </c>
      <c r="AO776" t="s">
        <v>10062</v>
      </c>
      <c r="AP776" t="s">
        <v>10063</v>
      </c>
      <c r="AQ776" t="s">
        <v>74</v>
      </c>
      <c r="AR776" t="s">
        <v>10064</v>
      </c>
      <c r="AS776" t="s">
        <v>10065</v>
      </c>
      <c r="AT776" t="s">
        <v>9735</v>
      </c>
      <c r="AU776">
        <v>1999</v>
      </c>
      <c r="AV776">
        <v>38</v>
      </c>
      <c r="AW776">
        <v>3</v>
      </c>
      <c r="AX776" t="s">
        <v>74</v>
      </c>
      <c r="AY776" t="s">
        <v>74</v>
      </c>
      <c r="AZ776" t="s">
        <v>74</v>
      </c>
      <c r="BA776" t="s">
        <v>74</v>
      </c>
      <c r="BB776">
        <v>143</v>
      </c>
      <c r="BC776">
        <v>150</v>
      </c>
      <c r="BD776" t="s">
        <v>74</v>
      </c>
      <c r="BE776" t="s">
        <v>10066</v>
      </c>
      <c r="BF776" t="str">
        <f>HYPERLINK("http://dx.doi.org/10.1007/PL00006778","http://dx.doi.org/10.1007/PL00006778")</f>
        <v>http://dx.doi.org/10.1007/PL00006778</v>
      </c>
      <c r="BG776" t="s">
        <v>74</v>
      </c>
      <c r="BH776" t="s">
        <v>74</v>
      </c>
      <c r="BI776">
        <v>8</v>
      </c>
      <c r="BJ776" t="s">
        <v>2075</v>
      </c>
      <c r="BK776" t="s">
        <v>96</v>
      </c>
      <c r="BL776" t="s">
        <v>2075</v>
      </c>
      <c r="BM776" t="s">
        <v>10067</v>
      </c>
      <c r="BN776">
        <v>9922464</v>
      </c>
      <c r="BO776" t="s">
        <v>74</v>
      </c>
      <c r="BP776" t="s">
        <v>74</v>
      </c>
      <c r="BQ776" t="s">
        <v>74</v>
      </c>
      <c r="BR776" t="s">
        <v>99</v>
      </c>
      <c r="BS776" t="s">
        <v>10068</v>
      </c>
      <c r="BT776" t="str">
        <f>HYPERLINK("https%3A%2F%2Fwww.webofscience.com%2Fwos%2Fwoscc%2Ffull-record%2FWOS:000078608300002","View Full Record in Web of Science")</f>
        <v>View Full Record in Web of Science</v>
      </c>
    </row>
    <row r="777" spans="1:72" x14ac:dyDescent="0.15">
      <c r="A777" t="s">
        <v>72</v>
      </c>
      <c r="B777" t="s">
        <v>10069</v>
      </c>
      <c r="C777" t="s">
        <v>74</v>
      </c>
      <c r="D777" t="s">
        <v>74</v>
      </c>
      <c r="E777" t="s">
        <v>74</v>
      </c>
      <c r="F777" t="s">
        <v>10069</v>
      </c>
      <c r="G777" t="s">
        <v>74</v>
      </c>
      <c r="H777" t="s">
        <v>74</v>
      </c>
      <c r="I777" t="s">
        <v>10070</v>
      </c>
      <c r="J777" t="s">
        <v>827</v>
      </c>
      <c r="K777" t="s">
        <v>74</v>
      </c>
      <c r="L777" t="s">
        <v>74</v>
      </c>
      <c r="M777" t="s">
        <v>77</v>
      </c>
      <c r="N777" t="s">
        <v>78</v>
      </c>
      <c r="O777" t="s">
        <v>74</v>
      </c>
      <c r="P777" t="s">
        <v>74</v>
      </c>
      <c r="Q777" t="s">
        <v>74</v>
      </c>
      <c r="R777" t="s">
        <v>74</v>
      </c>
      <c r="S777" t="s">
        <v>74</v>
      </c>
      <c r="T777" t="s">
        <v>74</v>
      </c>
      <c r="U777" t="s">
        <v>10071</v>
      </c>
      <c r="V777" t="s">
        <v>10072</v>
      </c>
      <c r="W777" t="s">
        <v>10073</v>
      </c>
      <c r="X777" t="s">
        <v>10074</v>
      </c>
      <c r="Y777" t="s">
        <v>10075</v>
      </c>
      <c r="Z777" t="s">
        <v>10076</v>
      </c>
      <c r="AA777" t="s">
        <v>10077</v>
      </c>
      <c r="AB777" t="s">
        <v>74</v>
      </c>
      <c r="AC777" t="s">
        <v>74</v>
      </c>
      <c r="AD777" t="s">
        <v>74</v>
      </c>
      <c r="AE777" t="s">
        <v>74</v>
      </c>
      <c r="AF777" t="s">
        <v>74</v>
      </c>
      <c r="AG777">
        <v>23</v>
      </c>
      <c r="AH777">
        <v>34</v>
      </c>
      <c r="AI777">
        <v>34</v>
      </c>
      <c r="AJ777">
        <v>1</v>
      </c>
      <c r="AK777">
        <v>7</v>
      </c>
      <c r="AL777" t="s">
        <v>275</v>
      </c>
      <c r="AM777" t="s">
        <v>276</v>
      </c>
      <c r="AN777" t="s">
        <v>277</v>
      </c>
      <c r="AO777" t="s">
        <v>836</v>
      </c>
      <c r="AP777" t="s">
        <v>4449</v>
      </c>
      <c r="AQ777" t="s">
        <v>74</v>
      </c>
      <c r="AR777" t="s">
        <v>837</v>
      </c>
      <c r="AS777" t="s">
        <v>838</v>
      </c>
      <c r="AT777" t="s">
        <v>9735</v>
      </c>
      <c r="AU777">
        <v>1999</v>
      </c>
      <c r="AV777">
        <v>46</v>
      </c>
      <c r="AW777">
        <v>3</v>
      </c>
      <c r="AX777" t="s">
        <v>74</v>
      </c>
      <c r="AY777" t="s">
        <v>74</v>
      </c>
      <c r="AZ777" t="s">
        <v>74</v>
      </c>
      <c r="BA777" t="s">
        <v>74</v>
      </c>
      <c r="BB777">
        <v>439</v>
      </c>
      <c r="BC777">
        <v>449</v>
      </c>
      <c r="BD777" t="s">
        <v>74</v>
      </c>
      <c r="BE777" t="s">
        <v>10078</v>
      </c>
      <c r="BF777" t="str">
        <f>HYPERLINK("http://dx.doi.org/10.1016/S0967-0637(98)00076-4","http://dx.doi.org/10.1016/S0967-0637(98)00076-4")</f>
        <v>http://dx.doi.org/10.1016/S0967-0637(98)00076-4</v>
      </c>
      <c r="BG777" t="s">
        <v>74</v>
      </c>
      <c r="BH777" t="s">
        <v>74</v>
      </c>
      <c r="BI777">
        <v>11</v>
      </c>
      <c r="BJ777" t="s">
        <v>416</v>
      </c>
      <c r="BK777" t="s">
        <v>96</v>
      </c>
      <c r="BL777" t="s">
        <v>416</v>
      </c>
      <c r="BM777" t="s">
        <v>10079</v>
      </c>
      <c r="BN777" t="s">
        <v>74</v>
      </c>
      <c r="BO777" t="s">
        <v>74</v>
      </c>
      <c r="BP777" t="s">
        <v>74</v>
      </c>
      <c r="BQ777" t="s">
        <v>74</v>
      </c>
      <c r="BR777" t="s">
        <v>99</v>
      </c>
      <c r="BS777" t="s">
        <v>10080</v>
      </c>
      <c r="BT777" t="str">
        <f>HYPERLINK("https%3A%2F%2Fwww.webofscience.com%2Fwos%2Fwoscc%2Ffull-record%2FWOS:000079248500003","View Full Record in Web of Science")</f>
        <v>View Full Record in Web of Science</v>
      </c>
    </row>
    <row r="778" spans="1:72" x14ac:dyDescent="0.15">
      <c r="A778" t="s">
        <v>72</v>
      </c>
      <c r="B778" t="s">
        <v>10081</v>
      </c>
      <c r="C778" t="s">
        <v>74</v>
      </c>
      <c r="D778" t="s">
        <v>74</v>
      </c>
      <c r="E778" t="s">
        <v>74</v>
      </c>
      <c r="F778" t="s">
        <v>10081</v>
      </c>
      <c r="G778" t="s">
        <v>74</v>
      </c>
      <c r="H778" t="s">
        <v>74</v>
      </c>
      <c r="I778" t="s">
        <v>10082</v>
      </c>
      <c r="J778" t="s">
        <v>827</v>
      </c>
      <c r="K778" t="s">
        <v>74</v>
      </c>
      <c r="L778" t="s">
        <v>74</v>
      </c>
      <c r="M778" t="s">
        <v>77</v>
      </c>
      <c r="N778" t="s">
        <v>78</v>
      </c>
      <c r="O778" t="s">
        <v>74</v>
      </c>
      <c r="P778" t="s">
        <v>74</v>
      </c>
      <c r="Q778" t="s">
        <v>74</v>
      </c>
      <c r="R778" t="s">
        <v>74</v>
      </c>
      <c r="S778" t="s">
        <v>74</v>
      </c>
      <c r="T778" t="s">
        <v>74</v>
      </c>
      <c r="U778" t="s">
        <v>10083</v>
      </c>
      <c r="V778" t="s">
        <v>10084</v>
      </c>
      <c r="W778" t="s">
        <v>10085</v>
      </c>
      <c r="X778" t="s">
        <v>10086</v>
      </c>
      <c r="Y778" t="s">
        <v>10087</v>
      </c>
      <c r="Z778" t="s">
        <v>10088</v>
      </c>
      <c r="AA778" t="s">
        <v>10089</v>
      </c>
      <c r="AB778" t="s">
        <v>10090</v>
      </c>
      <c r="AC778" t="s">
        <v>74</v>
      </c>
      <c r="AD778" t="s">
        <v>74</v>
      </c>
      <c r="AE778" t="s">
        <v>74</v>
      </c>
      <c r="AF778" t="s">
        <v>74</v>
      </c>
      <c r="AG778">
        <v>60</v>
      </c>
      <c r="AH778">
        <v>77</v>
      </c>
      <c r="AI778">
        <v>85</v>
      </c>
      <c r="AJ778">
        <v>0</v>
      </c>
      <c r="AK778">
        <v>15</v>
      </c>
      <c r="AL778" t="s">
        <v>275</v>
      </c>
      <c r="AM778" t="s">
        <v>276</v>
      </c>
      <c r="AN778" t="s">
        <v>277</v>
      </c>
      <c r="AO778" t="s">
        <v>836</v>
      </c>
      <c r="AP778" t="s">
        <v>74</v>
      </c>
      <c r="AQ778" t="s">
        <v>74</v>
      </c>
      <c r="AR778" t="s">
        <v>837</v>
      </c>
      <c r="AS778" t="s">
        <v>838</v>
      </c>
      <c r="AT778" t="s">
        <v>9735</v>
      </c>
      <c r="AU778">
        <v>1999</v>
      </c>
      <c r="AV778">
        <v>46</v>
      </c>
      <c r="AW778">
        <v>3</v>
      </c>
      <c r="AX778" t="s">
        <v>74</v>
      </c>
      <c r="AY778" t="s">
        <v>74</v>
      </c>
      <c r="AZ778" t="s">
        <v>74</v>
      </c>
      <c r="BA778" t="s">
        <v>74</v>
      </c>
      <c r="BB778">
        <v>451</v>
      </c>
      <c r="BC778">
        <v>482</v>
      </c>
      <c r="BD778" t="s">
        <v>74</v>
      </c>
      <c r="BE778" t="s">
        <v>10091</v>
      </c>
      <c r="BF778" t="str">
        <f>HYPERLINK("http://dx.doi.org/10.1016/S0967-0637(98)00079-X","http://dx.doi.org/10.1016/S0967-0637(98)00079-X")</f>
        <v>http://dx.doi.org/10.1016/S0967-0637(98)00079-X</v>
      </c>
      <c r="BG778" t="s">
        <v>74</v>
      </c>
      <c r="BH778" t="s">
        <v>74</v>
      </c>
      <c r="BI778">
        <v>32</v>
      </c>
      <c r="BJ778" t="s">
        <v>416</v>
      </c>
      <c r="BK778" t="s">
        <v>96</v>
      </c>
      <c r="BL778" t="s">
        <v>416</v>
      </c>
      <c r="BM778" t="s">
        <v>10079</v>
      </c>
      <c r="BN778" t="s">
        <v>74</v>
      </c>
      <c r="BO778" t="s">
        <v>74</v>
      </c>
      <c r="BP778" t="s">
        <v>74</v>
      </c>
      <c r="BQ778" t="s">
        <v>74</v>
      </c>
      <c r="BR778" t="s">
        <v>99</v>
      </c>
      <c r="BS778" t="s">
        <v>10092</v>
      </c>
      <c r="BT778" t="str">
        <f>HYPERLINK("https%3A%2F%2Fwww.webofscience.com%2Fwos%2Fwoscc%2Ffull-record%2FWOS:000079248500004","View Full Record in Web of Science")</f>
        <v>View Full Record in Web of Science</v>
      </c>
    </row>
    <row r="779" spans="1:72" x14ac:dyDescent="0.15">
      <c r="A779" t="s">
        <v>72</v>
      </c>
      <c r="B779" t="s">
        <v>10093</v>
      </c>
      <c r="C779" t="s">
        <v>74</v>
      </c>
      <c r="D779" t="s">
        <v>74</v>
      </c>
      <c r="E779" t="s">
        <v>74</v>
      </c>
      <c r="F779" t="s">
        <v>10093</v>
      </c>
      <c r="G779" t="s">
        <v>74</v>
      </c>
      <c r="H779" t="s">
        <v>74</v>
      </c>
      <c r="I779" t="s">
        <v>10094</v>
      </c>
      <c r="J779" t="s">
        <v>3192</v>
      </c>
      <c r="K779" t="s">
        <v>74</v>
      </c>
      <c r="L779" t="s">
        <v>74</v>
      </c>
      <c r="M779" t="s">
        <v>77</v>
      </c>
      <c r="N779" t="s">
        <v>78</v>
      </c>
      <c r="O779" t="s">
        <v>74</v>
      </c>
      <c r="P779" t="s">
        <v>74</v>
      </c>
      <c r="Q779" t="s">
        <v>74</v>
      </c>
      <c r="R779" t="s">
        <v>74</v>
      </c>
      <c r="S779" t="s">
        <v>74</v>
      </c>
      <c r="T779" t="s">
        <v>74</v>
      </c>
      <c r="U779" t="s">
        <v>10095</v>
      </c>
      <c r="V779" t="s">
        <v>10096</v>
      </c>
      <c r="W779" t="s">
        <v>6526</v>
      </c>
      <c r="X779" t="s">
        <v>2279</v>
      </c>
      <c r="Y779" t="s">
        <v>10097</v>
      </c>
      <c r="Z779" t="s">
        <v>74</v>
      </c>
      <c r="AA779" t="s">
        <v>74</v>
      </c>
      <c r="AB779" t="s">
        <v>10098</v>
      </c>
      <c r="AC779" t="s">
        <v>74</v>
      </c>
      <c r="AD779" t="s">
        <v>74</v>
      </c>
      <c r="AE779" t="s">
        <v>74</v>
      </c>
      <c r="AF779" t="s">
        <v>74</v>
      </c>
      <c r="AG779">
        <v>13</v>
      </c>
      <c r="AH779">
        <v>10</v>
      </c>
      <c r="AI779">
        <v>11</v>
      </c>
      <c r="AJ779">
        <v>1</v>
      </c>
      <c r="AK779">
        <v>46</v>
      </c>
      <c r="AL779" t="s">
        <v>3212</v>
      </c>
      <c r="AM779" t="s">
        <v>3213</v>
      </c>
      <c r="AN779" t="s">
        <v>3214</v>
      </c>
      <c r="AO779" t="s">
        <v>3201</v>
      </c>
      <c r="AP779" t="s">
        <v>3215</v>
      </c>
      <c r="AQ779" t="s">
        <v>74</v>
      </c>
      <c r="AR779" t="s">
        <v>3192</v>
      </c>
      <c r="AS779" t="s">
        <v>3202</v>
      </c>
      <c r="AT779" t="s">
        <v>9735</v>
      </c>
      <c r="AU779">
        <v>1999</v>
      </c>
      <c r="AV779">
        <v>99</v>
      </c>
      <c r="AW779" t="s">
        <v>74</v>
      </c>
      <c r="AX779">
        <v>1</v>
      </c>
      <c r="AY779" t="s">
        <v>74</v>
      </c>
      <c r="AZ779" t="s">
        <v>74</v>
      </c>
      <c r="BA779" t="s">
        <v>74</v>
      </c>
      <c r="BB779">
        <v>40</v>
      </c>
      <c r="BC779">
        <v>45</v>
      </c>
      <c r="BD779" t="s">
        <v>74</v>
      </c>
      <c r="BE779" t="s">
        <v>10099</v>
      </c>
      <c r="BF779" t="str">
        <f>HYPERLINK("http://dx.doi.org/10.1071/MU99006","http://dx.doi.org/10.1071/MU99006")</f>
        <v>http://dx.doi.org/10.1071/MU99006</v>
      </c>
      <c r="BG779" t="s">
        <v>74</v>
      </c>
      <c r="BH779" t="s">
        <v>74</v>
      </c>
      <c r="BI779">
        <v>6</v>
      </c>
      <c r="BJ779" t="s">
        <v>2212</v>
      </c>
      <c r="BK779" t="s">
        <v>96</v>
      </c>
      <c r="BL779" t="s">
        <v>142</v>
      </c>
      <c r="BM779" t="s">
        <v>10100</v>
      </c>
      <c r="BN779" t="s">
        <v>74</v>
      </c>
      <c r="BO779" t="s">
        <v>74</v>
      </c>
      <c r="BP779" t="s">
        <v>74</v>
      </c>
      <c r="BQ779" t="s">
        <v>74</v>
      </c>
      <c r="BR779" t="s">
        <v>99</v>
      </c>
      <c r="BS779" t="s">
        <v>10101</v>
      </c>
      <c r="BT779" t="str">
        <f>HYPERLINK("https%3A%2F%2Fwww.webofscience.com%2Fwos%2Fwoscc%2Ffull-record%2FWOS:000079037200006","View Full Record in Web of Science")</f>
        <v>View Full Record in Web of Science</v>
      </c>
    </row>
    <row r="780" spans="1:72" x14ac:dyDescent="0.15">
      <c r="A780" t="s">
        <v>72</v>
      </c>
      <c r="B780" t="s">
        <v>10102</v>
      </c>
      <c r="C780" t="s">
        <v>74</v>
      </c>
      <c r="D780" t="s">
        <v>74</v>
      </c>
      <c r="E780" t="s">
        <v>74</v>
      </c>
      <c r="F780" t="s">
        <v>10102</v>
      </c>
      <c r="G780" t="s">
        <v>74</v>
      </c>
      <c r="H780" t="s">
        <v>74</v>
      </c>
      <c r="I780" t="s">
        <v>10103</v>
      </c>
      <c r="J780" t="s">
        <v>10104</v>
      </c>
      <c r="K780" t="s">
        <v>74</v>
      </c>
      <c r="L780" t="s">
        <v>74</v>
      </c>
      <c r="M780" t="s">
        <v>77</v>
      </c>
      <c r="N780" t="s">
        <v>78</v>
      </c>
      <c r="O780" t="s">
        <v>74</v>
      </c>
      <c r="P780" t="s">
        <v>74</v>
      </c>
      <c r="Q780" t="s">
        <v>74</v>
      </c>
      <c r="R780" t="s">
        <v>74</v>
      </c>
      <c r="S780" t="s">
        <v>74</v>
      </c>
      <c r="T780" t="s">
        <v>74</v>
      </c>
      <c r="U780" t="s">
        <v>10105</v>
      </c>
      <c r="V780" t="s">
        <v>10106</v>
      </c>
      <c r="W780" t="s">
        <v>10107</v>
      </c>
      <c r="X780" t="s">
        <v>10108</v>
      </c>
      <c r="Y780" t="s">
        <v>10109</v>
      </c>
      <c r="Z780" t="s">
        <v>74</v>
      </c>
      <c r="AA780" t="s">
        <v>10110</v>
      </c>
      <c r="AB780" t="s">
        <v>10111</v>
      </c>
      <c r="AC780" t="s">
        <v>74</v>
      </c>
      <c r="AD780" t="s">
        <v>74</v>
      </c>
      <c r="AE780" t="s">
        <v>74</v>
      </c>
      <c r="AF780" t="s">
        <v>74</v>
      </c>
      <c r="AG780">
        <v>26</v>
      </c>
      <c r="AH780">
        <v>27</v>
      </c>
      <c r="AI780">
        <v>29</v>
      </c>
      <c r="AJ780">
        <v>0</v>
      </c>
      <c r="AK780">
        <v>21</v>
      </c>
      <c r="AL780" t="s">
        <v>10112</v>
      </c>
      <c r="AM780" t="s">
        <v>9933</v>
      </c>
      <c r="AN780" t="s">
        <v>10113</v>
      </c>
      <c r="AO780" t="s">
        <v>3201</v>
      </c>
      <c r="AP780" t="s">
        <v>3215</v>
      </c>
      <c r="AQ780" t="s">
        <v>74</v>
      </c>
      <c r="AR780" t="s">
        <v>3192</v>
      </c>
      <c r="AS780" t="s">
        <v>3202</v>
      </c>
      <c r="AT780" t="s">
        <v>9735</v>
      </c>
      <c r="AU780">
        <v>1999</v>
      </c>
      <c r="AV780">
        <v>99</v>
      </c>
      <c r="AW780" t="s">
        <v>74</v>
      </c>
      <c r="AX780">
        <v>1</v>
      </c>
      <c r="AY780" t="s">
        <v>74</v>
      </c>
      <c r="AZ780" t="s">
        <v>74</v>
      </c>
      <c r="BA780" t="s">
        <v>74</v>
      </c>
      <c r="BB780">
        <v>60</v>
      </c>
      <c r="BC780">
        <v>68</v>
      </c>
      <c r="BD780" t="s">
        <v>74</v>
      </c>
      <c r="BE780" t="s">
        <v>10114</v>
      </c>
      <c r="BF780" t="str">
        <f>HYPERLINK("http://dx.doi.org/10.1071/MU99008","http://dx.doi.org/10.1071/MU99008")</f>
        <v>http://dx.doi.org/10.1071/MU99008</v>
      </c>
      <c r="BG780" t="s">
        <v>74</v>
      </c>
      <c r="BH780" t="s">
        <v>74</v>
      </c>
      <c r="BI780">
        <v>9</v>
      </c>
      <c r="BJ780" t="s">
        <v>2212</v>
      </c>
      <c r="BK780" t="s">
        <v>96</v>
      </c>
      <c r="BL780" t="s">
        <v>142</v>
      </c>
      <c r="BM780" t="s">
        <v>10100</v>
      </c>
      <c r="BN780" t="s">
        <v>74</v>
      </c>
      <c r="BO780" t="s">
        <v>74</v>
      </c>
      <c r="BP780" t="s">
        <v>74</v>
      </c>
      <c r="BQ780" t="s">
        <v>74</v>
      </c>
      <c r="BR780" t="s">
        <v>99</v>
      </c>
      <c r="BS780" t="s">
        <v>10115</v>
      </c>
      <c r="BT780" t="str">
        <f>HYPERLINK("https%3A%2F%2Fwww.webofscience.com%2Fwos%2Fwoscc%2Ffull-record%2FWOS:000079037200008","View Full Record in Web of Science")</f>
        <v>View Full Record in Web of Science</v>
      </c>
    </row>
    <row r="781" spans="1:72" x14ac:dyDescent="0.15">
      <c r="A781" t="s">
        <v>72</v>
      </c>
      <c r="B781" t="s">
        <v>10116</v>
      </c>
      <c r="C781" t="s">
        <v>74</v>
      </c>
      <c r="D781" t="s">
        <v>74</v>
      </c>
      <c r="E781" t="s">
        <v>74</v>
      </c>
      <c r="F781" t="s">
        <v>10116</v>
      </c>
      <c r="G781" t="s">
        <v>74</v>
      </c>
      <c r="H781" t="s">
        <v>74</v>
      </c>
      <c r="I781" t="s">
        <v>10117</v>
      </c>
      <c r="J781" t="s">
        <v>3257</v>
      </c>
      <c r="K781" t="s">
        <v>74</v>
      </c>
      <c r="L781" t="s">
        <v>74</v>
      </c>
      <c r="M781" t="s">
        <v>77</v>
      </c>
      <c r="N781" t="s">
        <v>78</v>
      </c>
      <c r="O781" t="s">
        <v>74</v>
      </c>
      <c r="P781" t="s">
        <v>74</v>
      </c>
      <c r="Q781" t="s">
        <v>74</v>
      </c>
      <c r="R781" t="s">
        <v>74</v>
      </c>
      <c r="S781" t="s">
        <v>74</v>
      </c>
      <c r="T781" t="s">
        <v>74</v>
      </c>
      <c r="U781" t="s">
        <v>10118</v>
      </c>
      <c r="V781" t="s">
        <v>10119</v>
      </c>
      <c r="W781" t="s">
        <v>10120</v>
      </c>
      <c r="X781" t="s">
        <v>10121</v>
      </c>
      <c r="Y781" t="s">
        <v>10122</v>
      </c>
      <c r="Z781" t="s">
        <v>74</v>
      </c>
      <c r="AA781" t="s">
        <v>74</v>
      </c>
      <c r="AB781" t="s">
        <v>10123</v>
      </c>
      <c r="AC781" t="s">
        <v>74</v>
      </c>
      <c r="AD781" t="s">
        <v>74</v>
      </c>
      <c r="AE781" t="s">
        <v>74</v>
      </c>
      <c r="AF781" t="s">
        <v>74</v>
      </c>
      <c r="AG781">
        <v>50</v>
      </c>
      <c r="AH781">
        <v>21</v>
      </c>
      <c r="AI781">
        <v>23</v>
      </c>
      <c r="AJ781">
        <v>0</v>
      </c>
      <c r="AK781">
        <v>4</v>
      </c>
      <c r="AL781" t="s">
        <v>275</v>
      </c>
      <c r="AM781" t="s">
        <v>276</v>
      </c>
      <c r="AN781" t="s">
        <v>277</v>
      </c>
      <c r="AO781" t="s">
        <v>3266</v>
      </c>
      <c r="AP781" t="s">
        <v>74</v>
      </c>
      <c r="AQ781" t="s">
        <v>74</v>
      </c>
      <c r="AR781" t="s">
        <v>3268</v>
      </c>
      <c r="AS781" t="s">
        <v>3269</v>
      </c>
      <c r="AT781" t="s">
        <v>9735</v>
      </c>
      <c r="AU781">
        <v>1999</v>
      </c>
      <c r="AV781">
        <v>63</v>
      </c>
      <c r="AW781">
        <v>6</v>
      </c>
      <c r="AX781" t="s">
        <v>74</v>
      </c>
      <c r="AY781" t="s">
        <v>74</v>
      </c>
      <c r="AZ781" t="s">
        <v>74</v>
      </c>
      <c r="BA781" t="s">
        <v>74</v>
      </c>
      <c r="BB781">
        <v>925</v>
      </c>
      <c r="BC781">
        <v>933</v>
      </c>
      <c r="BD781" t="s">
        <v>74</v>
      </c>
      <c r="BE781" t="s">
        <v>10124</v>
      </c>
      <c r="BF781" t="str">
        <f>HYPERLINK("http://dx.doi.org/10.1016/S0016-7037(98)00316-0","http://dx.doi.org/10.1016/S0016-7037(98)00316-0")</f>
        <v>http://dx.doi.org/10.1016/S0016-7037(98)00316-0</v>
      </c>
      <c r="BG781" t="s">
        <v>74</v>
      </c>
      <c r="BH781" t="s">
        <v>74</v>
      </c>
      <c r="BI781">
        <v>9</v>
      </c>
      <c r="BJ781" t="s">
        <v>216</v>
      </c>
      <c r="BK781" t="s">
        <v>96</v>
      </c>
      <c r="BL781" t="s">
        <v>216</v>
      </c>
      <c r="BM781" t="s">
        <v>10125</v>
      </c>
      <c r="BN781" t="s">
        <v>74</v>
      </c>
      <c r="BO781" t="s">
        <v>74</v>
      </c>
      <c r="BP781" t="s">
        <v>74</v>
      </c>
      <c r="BQ781" t="s">
        <v>74</v>
      </c>
      <c r="BR781" t="s">
        <v>99</v>
      </c>
      <c r="BS781" t="s">
        <v>10126</v>
      </c>
      <c r="BT781" t="str">
        <f>HYPERLINK("https%3A%2F%2Fwww.webofscience.com%2Fwos%2Fwoscc%2Ffull-record%2FWOS:000081097000012","View Full Record in Web of Science")</f>
        <v>View Full Record in Web of Science</v>
      </c>
    </row>
    <row r="782" spans="1:72" x14ac:dyDescent="0.15">
      <c r="A782" t="s">
        <v>72</v>
      </c>
      <c r="B782" t="s">
        <v>10127</v>
      </c>
      <c r="C782" t="s">
        <v>74</v>
      </c>
      <c r="D782" t="s">
        <v>74</v>
      </c>
      <c r="E782" t="s">
        <v>74</v>
      </c>
      <c r="F782" t="s">
        <v>10127</v>
      </c>
      <c r="G782" t="s">
        <v>74</v>
      </c>
      <c r="H782" t="s">
        <v>74</v>
      </c>
      <c r="I782" t="s">
        <v>10128</v>
      </c>
      <c r="J782" t="s">
        <v>10129</v>
      </c>
      <c r="K782" t="s">
        <v>74</v>
      </c>
      <c r="L782" t="s">
        <v>74</v>
      </c>
      <c r="M782" t="s">
        <v>77</v>
      </c>
      <c r="N782" t="s">
        <v>78</v>
      </c>
      <c r="O782" t="s">
        <v>74</v>
      </c>
      <c r="P782" t="s">
        <v>74</v>
      </c>
      <c r="Q782" t="s">
        <v>74</v>
      </c>
      <c r="R782" t="s">
        <v>74</v>
      </c>
      <c r="S782" t="s">
        <v>74</v>
      </c>
      <c r="T782" t="s">
        <v>74</v>
      </c>
      <c r="U782" t="s">
        <v>10130</v>
      </c>
      <c r="V782" t="s">
        <v>10131</v>
      </c>
      <c r="W782" t="s">
        <v>10132</v>
      </c>
      <c r="X782" t="s">
        <v>10133</v>
      </c>
      <c r="Y782" t="s">
        <v>10134</v>
      </c>
      <c r="Z782" t="s">
        <v>74</v>
      </c>
      <c r="AA782" t="s">
        <v>10135</v>
      </c>
      <c r="AB782" t="s">
        <v>74</v>
      </c>
      <c r="AC782" t="s">
        <v>74</v>
      </c>
      <c r="AD782" t="s">
        <v>74</v>
      </c>
      <c r="AE782" t="s">
        <v>74</v>
      </c>
      <c r="AF782" t="s">
        <v>74</v>
      </c>
      <c r="AG782">
        <v>59</v>
      </c>
      <c r="AH782">
        <v>61</v>
      </c>
      <c r="AI782">
        <v>64</v>
      </c>
      <c r="AJ782">
        <v>0</v>
      </c>
      <c r="AK782">
        <v>16</v>
      </c>
      <c r="AL782" t="s">
        <v>2057</v>
      </c>
      <c r="AM782" t="s">
        <v>554</v>
      </c>
      <c r="AN782" t="s">
        <v>2058</v>
      </c>
      <c r="AO782" t="s">
        <v>10136</v>
      </c>
      <c r="AP782" t="s">
        <v>74</v>
      </c>
      <c r="AQ782" t="s">
        <v>74</v>
      </c>
      <c r="AR782" t="s">
        <v>10137</v>
      </c>
      <c r="AS782" t="s">
        <v>10138</v>
      </c>
      <c r="AT782" t="s">
        <v>9735</v>
      </c>
      <c r="AU782">
        <v>1999</v>
      </c>
      <c r="AV782">
        <v>136</v>
      </c>
      <c r="AW782">
        <v>2</v>
      </c>
      <c r="AX782" t="s">
        <v>74</v>
      </c>
      <c r="AY782" t="s">
        <v>74</v>
      </c>
      <c r="AZ782" t="s">
        <v>74</v>
      </c>
      <c r="BA782" t="s">
        <v>74</v>
      </c>
      <c r="BB782">
        <v>177</v>
      </c>
      <c r="BC782">
        <v>187</v>
      </c>
      <c r="BD782" t="s">
        <v>74</v>
      </c>
      <c r="BE782" t="s">
        <v>10139</v>
      </c>
      <c r="BF782" t="str">
        <f>HYPERLINK("http://dx.doi.org/10.1017/S0016756899002307","http://dx.doi.org/10.1017/S0016756899002307")</f>
        <v>http://dx.doi.org/10.1017/S0016756899002307</v>
      </c>
      <c r="BG782" t="s">
        <v>74</v>
      </c>
      <c r="BH782" t="s">
        <v>74</v>
      </c>
      <c r="BI782">
        <v>11</v>
      </c>
      <c r="BJ782" t="s">
        <v>387</v>
      </c>
      <c r="BK782" t="s">
        <v>96</v>
      </c>
      <c r="BL782" t="s">
        <v>388</v>
      </c>
      <c r="BM782" t="s">
        <v>10140</v>
      </c>
      <c r="BN782" t="s">
        <v>74</v>
      </c>
      <c r="BO782" t="s">
        <v>74</v>
      </c>
      <c r="BP782" t="s">
        <v>74</v>
      </c>
      <c r="BQ782" t="s">
        <v>74</v>
      </c>
      <c r="BR782" t="s">
        <v>99</v>
      </c>
      <c r="BS782" t="s">
        <v>10141</v>
      </c>
      <c r="BT782" t="str">
        <f>HYPERLINK("https%3A%2F%2Fwww.webofscience.com%2Fwos%2Fwoscc%2Ffull-record%2FWOS:000079784500006","View Full Record in Web of Science")</f>
        <v>View Full Record in Web of Science</v>
      </c>
    </row>
    <row r="783" spans="1:72" x14ac:dyDescent="0.15">
      <c r="A783" t="s">
        <v>72</v>
      </c>
      <c r="B783" t="s">
        <v>10142</v>
      </c>
      <c r="C783" t="s">
        <v>74</v>
      </c>
      <c r="D783" t="s">
        <v>74</v>
      </c>
      <c r="E783" t="s">
        <v>74</v>
      </c>
      <c r="F783" t="s">
        <v>10142</v>
      </c>
      <c r="G783" t="s">
        <v>74</v>
      </c>
      <c r="H783" t="s">
        <v>74</v>
      </c>
      <c r="I783" t="s">
        <v>10143</v>
      </c>
      <c r="J783" t="s">
        <v>10144</v>
      </c>
      <c r="K783" t="s">
        <v>74</v>
      </c>
      <c r="L783" t="s">
        <v>74</v>
      </c>
      <c r="M783" t="s">
        <v>77</v>
      </c>
      <c r="N783" t="s">
        <v>78</v>
      </c>
      <c r="O783" t="s">
        <v>74</v>
      </c>
      <c r="P783" t="s">
        <v>74</v>
      </c>
      <c r="Q783" t="s">
        <v>74</v>
      </c>
      <c r="R783" t="s">
        <v>74</v>
      </c>
      <c r="S783" t="s">
        <v>74</v>
      </c>
      <c r="T783" t="s">
        <v>10145</v>
      </c>
      <c r="U783" t="s">
        <v>10146</v>
      </c>
      <c r="V783" t="s">
        <v>10147</v>
      </c>
      <c r="W783" t="s">
        <v>7520</v>
      </c>
      <c r="X783" t="s">
        <v>7521</v>
      </c>
      <c r="Y783" t="s">
        <v>10148</v>
      </c>
      <c r="Z783" t="s">
        <v>10149</v>
      </c>
      <c r="AA783" t="s">
        <v>10150</v>
      </c>
      <c r="AB783" t="s">
        <v>10151</v>
      </c>
      <c r="AC783" t="s">
        <v>74</v>
      </c>
      <c r="AD783" t="s">
        <v>74</v>
      </c>
      <c r="AE783" t="s">
        <v>74</v>
      </c>
      <c r="AF783" t="s">
        <v>74</v>
      </c>
      <c r="AG783">
        <v>83</v>
      </c>
      <c r="AH783">
        <v>62</v>
      </c>
      <c r="AI783">
        <v>67</v>
      </c>
      <c r="AJ783">
        <v>0</v>
      </c>
      <c r="AK783">
        <v>4</v>
      </c>
      <c r="AL783" t="s">
        <v>1090</v>
      </c>
      <c r="AM783" t="s">
        <v>276</v>
      </c>
      <c r="AN783" t="s">
        <v>1091</v>
      </c>
      <c r="AO783" t="s">
        <v>10152</v>
      </c>
      <c r="AP783" t="s">
        <v>10153</v>
      </c>
      <c r="AQ783" t="s">
        <v>74</v>
      </c>
      <c r="AR783" t="s">
        <v>10154</v>
      </c>
      <c r="AS783" t="s">
        <v>10155</v>
      </c>
      <c r="AT783" t="s">
        <v>9735</v>
      </c>
      <c r="AU783">
        <v>1999</v>
      </c>
      <c r="AV783">
        <v>136</v>
      </c>
      <c r="AW783">
        <v>3</v>
      </c>
      <c r="AX783" t="s">
        <v>74</v>
      </c>
      <c r="AY783" t="s">
        <v>74</v>
      </c>
      <c r="AZ783" t="s">
        <v>74</v>
      </c>
      <c r="BA783" t="s">
        <v>74</v>
      </c>
      <c r="BB783">
        <v>537</v>
      </c>
      <c r="BC783">
        <v>558</v>
      </c>
      <c r="BD783" t="s">
        <v>74</v>
      </c>
      <c r="BE783" t="s">
        <v>10156</v>
      </c>
      <c r="BF783" t="str">
        <f>HYPERLINK("http://dx.doi.org/10.1046/j.1365-246x.1999.00738.x","http://dx.doi.org/10.1046/j.1365-246x.1999.00738.x")</f>
        <v>http://dx.doi.org/10.1046/j.1365-246x.1999.00738.x</v>
      </c>
      <c r="BG783" t="s">
        <v>74</v>
      </c>
      <c r="BH783" t="s">
        <v>74</v>
      </c>
      <c r="BI783">
        <v>22</v>
      </c>
      <c r="BJ783" t="s">
        <v>216</v>
      </c>
      <c r="BK783" t="s">
        <v>96</v>
      </c>
      <c r="BL783" t="s">
        <v>216</v>
      </c>
      <c r="BM783" t="s">
        <v>10157</v>
      </c>
      <c r="BN783" t="s">
        <v>74</v>
      </c>
      <c r="BO783" t="s">
        <v>250</v>
      </c>
      <c r="BP783" t="s">
        <v>74</v>
      </c>
      <c r="BQ783" t="s">
        <v>74</v>
      </c>
      <c r="BR783" t="s">
        <v>99</v>
      </c>
      <c r="BS783" t="s">
        <v>10158</v>
      </c>
      <c r="BT783" t="str">
        <f>HYPERLINK("https%3A%2F%2Fwww.webofscience.com%2Fwos%2Fwoscc%2Ffull-record%2FWOS:000079145700004","View Full Record in Web of Science")</f>
        <v>View Full Record in Web of Science</v>
      </c>
    </row>
    <row r="784" spans="1:72" x14ac:dyDescent="0.15">
      <c r="A784" t="s">
        <v>72</v>
      </c>
      <c r="B784" t="s">
        <v>10159</v>
      </c>
      <c r="C784" t="s">
        <v>74</v>
      </c>
      <c r="D784" t="s">
        <v>74</v>
      </c>
      <c r="E784" t="s">
        <v>74</v>
      </c>
      <c r="F784" t="s">
        <v>10159</v>
      </c>
      <c r="G784" t="s">
        <v>74</v>
      </c>
      <c r="H784" t="s">
        <v>74</v>
      </c>
      <c r="I784" t="s">
        <v>10160</v>
      </c>
      <c r="J784" t="s">
        <v>6842</v>
      </c>
      <c r="K784" t="s">
        <v>74</v>
      </c>
      <c r="L784" t="s">
        <v>74</v>
      </c>
      <c r="M784" t="s">
        <v>77</v>
      </c>
      <c r="N784" t="s">
        <v>78</v>
      </c>
      <c r="O784" t="s">
        <v>74</v>
      </c>
      <c r="P784" t="s">
        <v>74</v>
      </c>
      <c r="Q784" t="s">
        <v>74</v>
      </c>
      <c r="R784" t="s">
        <v>74</v>
      </c>
      <c r="S784" t="s">
        <v>74</v>
      </c>
      <c r="T784" t="s">
        <v>74</v>
      </c>
      <c r="U784" t="s">
        <v>10161</v>
      </c>
      <c r="V784" t="s">
        <v>10162</v>
      </c>
      <c r="W784" t="s">
        <v>10163</v>
      </c>
      <c r="X784" t="s">
        <v>10164</v>
      </c>
      <c r="Y784" t="s">
        <v>10165</v>
      </c>
      <c r="Z784" t="s">
        <v>74</v>
      </c>
      <c r="AA784" t="s">
        <v>10166</v>
      </c>
      <c r="AB784" t="s">
        <v>10167</v>
      </c>
      <c r="AC784" t="s">
        <v>74</v>
      </c>
      <c r="AD784" t="s">
        <v>74</v>
      </c>
      <c r="AE784" t="s">
        <v>74</v>
      </c>
      <c r="AF784" t="s">
        <v>74</v>
      </c>
      <c r="AG784">
        <v>45</v>
      </c>
      <c r="AH784">
        <v>70</v>
      </c>
      <c r="AI784">
        <v>74</v>
      </c>
      <c r="AJ784">
        <v>1</v>
      </c>
      <c r="AK784">
        <v>15</v>
      </c>
      <c r="AL784" t="s">
        <v>230</v>
      </c>
      <c r="AM784" t="s">
        <v>231</v>
      </c>
      <c r="AN784" t="s">
        <v>232</v>
      </c>
      <c r="AO784" t="s">
        <v>6850</v>
      </c>
      <c r="AP784" t="s">
        <v>74</v>
      </c>
      <c r="AQ784" t="s">
        <v>74</v>
      </c>
      <c r="AR784" t="s">
        <v>6851</v>
      </c>
      <c r="AS784" t="s">
        <v>6852</v>
      </c>
      <c r="AT784" t="s">
        <v>9735</v>
      </c>
      <c r="AU784">
        <v>1999</v>
      </c>
      <c r="AV784">
        <v>13</v>
      </c>
      <c r="AW784">
        <v>1</v>
      </c>
      <c r="AX784" t="s">
        <v>74</v>
      </c>
      <c r="AY784" t="s">
        <v>74</v>
      </c>
      <c r="AZ784" t="s">
        <v>74</v>
      </c>
      <c r="BA784" t="s">
        <v>74</v>
      </c>
      <c r="BB784">
        <v>199</v>
      </c>
      <c r="BC784">
        <v>220</v>
      </c>
      <c r="BD784" t="s">
        <v>74</v>
      </c>
      <c r="BE784" t="s">
        <v>10168</v>
      </c>
      <c r="BF784" t="str">
        <f>HYPERLINK("http://dx.doi.org/10.1029/1998GB900013","http://dx.doi.org/10.1029/1998GB900013")</f>
        <v>http://dx.doi.org/10.1029/1998GB900013</v>
      </c>
      <c r="BG784" t="s">
        <v>74</v>
      </c>
      <c r="BH784" t="s">
        <v>74</v>
      </c>
      <c r="BI784">
        <v>22</v>
      </c>
      <c r="BJ784" t="s">
        <v>6854</v>
      </c>
      <c r="BK784" t="s">
        <v>96</v>
      </c>
      <c r="BL784" t="s">
        <v>6855</v>
      </c>
      <c r="BM784" t="s">
        <v>10169</v>
      </c>
      <c r="BN784" t="s">
        <v>74</v>
      </c>
      <c r="BO784" t="s">
        <v>74</v>
      </c>
      <c r="BP784" t="s">
        <v>74</v>
      </c>
      <c r="BQ784" t="s">
        <v>74</v>
      </c>
      <c r="BR784" t="s">
        <v>99</v>
      </c>
      <c r="BS784" t="s">
        <v>10170</v>
      </c>
      <c r="BT784" t="str">
        <f>HYPERLINK("https%3A%2F%2Fwww.webofscience.com%2Fwos%2Fwoscc%2Ffull-record%2FWOS:000079003000015","View Full Record in Web of Science")</f>
        <v>View Full Record in Web of Science</v>
      </c>
    </row>
    <row r="785" spans="1:72" x14ac:dyDescent="0.15">
      <c r="A785" t="s">
        <v>72</v>
      </c>
      <c r="B785" t="s">
        <v>10171</v>
      </c>
      <c r="C785" t="s">
        <v>74</v>
      </c>
      <c r="D785" t="s">
        <v>74</v>
      </c>
      <c r="E785" t="s">
        <v>74</v>
      </c>
      <c r="F785" t="s">
        <v>10171</v>
      </c>
      <c r="G785" t="s">
        <v>74</v>
      </c>
      <c r="H785" t="s">
        <v>74</v>
      </c>
      <c r="I785" t="s">
        <v>10172</v>
      </c>
      <c r="J785" t="s">
        <v>9003</v>
      </c>
      <c r="K785" t="s">
        <v>74</v>
      </c>
      <c r="L785" t="s">
        <v>74</v>
      </c>
      <c r="M785" t="s">
        <v>77</v>
      </c>
      <c r="N785" t="s">
        <v>254</v>
      </c>
      <c r="O785" t="s">
        <v>74</v>
      </c>
      <c r="P785" t="s">
        <v>74</v>
      </c>
      <c r="Q785" t="s">
        <v>74</v>
      </c>
      <c r="R785" t="s">
        <v>74</v>
      </c>
      <c r="S785" t="s">
        <v>74</v>
      </c>
      <c r="T785" t="s">
        <v>10173</v>
      </c>
      <c r="U785" t="s">
        <v>10174</v>
      </c>
      <c r="V785" t="s">
        <v>10175</v>
      </c>
      <c r="W785" t="s">
        <v>10176</v>
      </c>
      <c r="X785" t="s">
        <v>10177</v>
      </c>
      <c r="Y785" t="s">
        <v>10178</v>
      </c>
      <c r="Z785" t="s">
        <v>10179</v>
      </c>
      <c r="AA785" t="s">
        <v>74</v>
      </c>
      <c r="AB785" t="s">
        <v>74</v>
      </c>
      <c r="AC785" t="s">
        <v>74</v>
      </c>
      <c r="AD785" t="s">
        <v>74</v>
      </c>
      <c r="AE785" t="s">
        <v>74</v>
      </c>
      <c r="AF785" t="s">
        <v>74</v>
      </c>
      <c r="AG785">
        <v>150</v>
      </c>
      <c r="AH785">
        <v>52</v>
      </c>
      <c r="AI785">
        <v>59</v>
      </c>
      <c r="AJ785">
        <v>0</v>
      </c>
      <c r="AK785">
        <v>47</v>
      </c>
      <c r="AL785" t="s">
        <v>863</v>
      </c>
      <c r="AM785" t="s">
        <v>276</v>
      </c>
      <c r="AN785" t="s">
        <v>864</v>
      </c>
      <c r="AO785" t="s">
        <v>9012</v>
      </c>
      <c r="AP785" t="s">
        <v>74</v>
      </c>
      <c r="AQ785" t="s">
        <v>74</v>
      </c>
      <c r="AR785" t="s">
        <v>10180</v>
      </c>
      <c r="AS785" t="s">
        <v>9015</v>
      </c>
      <c r="AT785" t="s">
        <v>9735</v>
      </c>
      <c r="AU785">
        <v>1999</v>
      </c>
      <c r="AV785">
        <v>5</v>
      </c>
      <c r="AW785">
        <v>3</v>
      </c>
      <c r="AX785" t="s">
        <v>74</v>
      </c>
      <c r="AY785" t="s">
        <v>74</v>
      </c>
      <c r="AZ785" t="s">
        <v>74</v>
      </c>
      <c r="BA785" t="s">
        <v>74</v>
      </c>
      <c r="BB785">
        <v>359</v>
      </c>
      <c r="BC785">
        <v>369</v>
      </c>
      <c r="BD785" t="s">
        <v>74</v>
      </c>
      <c r="BE785" t="s">
        <v>10181</v>
      </c>
      <c r="BF785" t="str">
        <f>HYPERLINK("http://dx.doi.org/10.1046/j.1365-2486.1999.00229.x","http://dx.doi.org/10.1046/j.1365-2486.1999.00229.x")</f>
        <v>http://dx.doi.org/10.1046/j.1365-2486.1999.00229.x</v>
      </c>
      <c r="BG785" t="s">
        <v>74</v>
      </c>
      <c r="BH785" t="s">
        <v>74</v>
      </c>
      <c r="BI785">
        <v>11</v>
      </c>
      <c r="BJ785" t="s">
        <v>9017</v>
      </c>
      <c r="BK785" t="s">
        <v>96</v>
      </c>
      <c r="BL785" t="s">
        <v>1384</v>
      </c>
      <c r="BM785" t="s">
        <v>10182</v>
      </c>
      <c r="BN785" t="s">
        <v>74</v>
      </c>
      <c r="BO785" t="s">
        <v>74</v>
      </c>
      <c r="BP785" t="s">
        <v>74</v>
      </c>
      <c r="BQ785" t="s">
        <v>74</v>
      </c>
      <c r="BR785" t="s">
        <v>99</v>
      </c>
      <c r="BS785" t="s">
        <v>10183</v>
      </c>
      <c r="BT785" t="str">
        <f>HYPERLINK("https%3A%2F%2Fwww.webofscience.com%2Fwos%2Fwoscc%2Ffull-record%2FWOS:000079231000009","View Full Record in Web of Science")</f>
        <v>View Full Record in Web of Science</v>
      </c>
    </row>
    <row r="786" spans="1:72" x14ac:dyDescent="0.15">
      <c r="A786" t="s">
        <v>72</v>
      </c>
      <c r="B786" t="s">
        <v>10184</v>
      </c>
      <c r="C786" t="s">
        <v>74</v>
      </c>
      <c r="D786" t="s">
        <v>74</v>
      </c>
      <c r="E786" t="s">
        <v>74</v>
      </c>
      <c r="F786" t="s">
        <v>10184</v>
      </c>
      <c r="G786" t="s">
        <v>74</v>
      </c>
      <c r="H786" t="s">
        <v>74</v>
      </c>
      <c r="I786" t="s">
        <v>10185</v>
      </c>
      <c r="J786" t="s">
        <v>3295</v>
      </c>
      <c r="K786" t="s">
        <v>74</v>
      </c>
      <c r="L786" t="s">
        <v>74</v>
      </c>
      <c r="M786" t="s">
        <v>77</v>
      </c>
      <c r="N786" t="s">
        <v>78</v>
      </c>
      <c r="O786" t="s">
        <v>74</v>
      </c>
      <c r="P786" t="s">
        <v>74</v>
      </c>
      <c r="Q786" t="s">
        <v>74</v>
      </c>
      <c r="R786" t="s">
        <v>74</v>
      </c>
      <c r="S786" t="s">
        <v>74</v>
      </c>
      <c r="T786" t="s">
        <v>10186</v>
      </c>
      <c r="U786" t="s">
        <v>10187</v>
      </c>
      <c r="V786" t="s">
        <v>10188</v>
      </c>
      <c r="W786" t="s">
        <v>10189</v>
      </c>
      <c r="X786" t="s">
        <v>10190</v>
      </c>
      <c r="Y786" t="s">
        <v>2101</v>
      </c>
      <c r="Z786" t="s">
        <v>74</v>
      </c>
      <c r="AA786" t="s">
        <v>9528</v>
      </c>
      <c r="AB786" t="s">
        <v>74</v>
      </c>
      <c r="AC786" t="s">
        <v>74</v>
      </c>
      <c r="AD786" t="s">
        <v>74</v>
      </c>
      <c r="AE786" t="s">
        <v>74</v>
      </c>
      <c r="AF786" t="s">
        <v>74</v>
      </c>
      <c r="AG786">
        <v>46</v>
      </c>
      <c r="AH786">
        <v>53</v>
      </c>
      <c r="AI786">
        <v>58</v>
      </c>
      <c r="AJ786">
        <v>1</v>
      </c>
      <c r="AK786">
        <v>8</v>
      </c>
      <c r="AL786" t="s">
        <v>3304</v>
      </c>
      <c r="AM786" t="s">
        <v>531</v>
      </c>
      <c r="AN786" t="s">
        <v>3305</v>
      </c>
      <c r="AO786" t="s">
        <v>3306</v>
      </c>
      <c r="AP786" t="s">
        <v>74</v>
      </c>
      <c r="AQ786" t="s">
        <v>74</v>
      </c>
      <c r="AR786" t="s">
        <v>3295</v>
      </c>
      <c r="AS786" t="s">
        <v>3307</v>
      </c>
      <c r="AT786" t="s">
        <v>9735</v>
      </c>
      <c r="AU786">
        <v>1999</v>
      </c>
      <c r="AV786">
        <v>9</v>
      </c>
      <c r="AW786">
        <v>2</v>
      </c>
      <c r="AX786" t="s">
        <v>74</v>
      </c>
      <c r="AY786" t="s">
        <v>74</v>
      </c>
      <c r="AZ786" t="s">
        <v>74</v>
      </c>
      <c r="BA786" t="s">
        <v>74</v>
      </c>
      <c r="BB786">
        <v>247</v>
      </c>
      <c r="BC786">
        <v>251</v>
      </c>
      <c r="BD786" t="s">
        <v>74</v>
      </c>
      <c r="BE786" t="s">
        <v>10191</v>
      </c>
      <c r="BF786" t="str">
        <f>HYPERLINK("http://dx.doi.org/10.1191/095968399675385468","http://dx.doi.org/10.1191/095968399675385468")</f>
        <v>http://dx.doi.org/10.1191/095968399675385468</v>
      </c>
      <c r="BG786" t="s">
        <v>74</v>
      </c>
      <c r="BH786" t="s">
        <v>74</v>
      </c>
      <c r="BI786">
        <v>5</v>
      </c>
      <c r="BJ786" t="s">
        <v>2151</v>
      </c>
      <c r="BK786" t="s">
        <v>96</v>
      </c>
      <c r="BL786" t="s">
        <v>2152</v>
      </c>
      <c r="BM786" t="s">
        <v>10192</v>
      </c>
      <c r="BN786" t="s">
        <v>74</v>
      </c>
      <c r="BO786" t="s">
        <v>74</v>
      </c>
      <c r="BP786" t="s">
        <v>74</v>
      </c>
      <c r="BQ786" t="s">
        <v>74</v>
      </c>
      <c r="BR786" t="s">
        <v>99</v>
      </c>
      <c r="BS786" t="s">
        <v>10193</v>
      </c>
      <c r="BT786" t="str">
        <f>HYPERLINK("https%3A%2F%2Fwww.webofscience.com%2Fwos%2Fwoscc%2Ffull-record%2FWOS:000079599000013","View Full Record in Web of Science")</f>
        <v>View Full Record in Web of Science</v>
      </c>
    </row>
    <row r="787" spans="1:72" x14ac:dyDescent="0.15">
      <c r="A787" t="s">
        <v>72</v>
      </c>
      <c r="B787" t="s">
        <v>10194</v>
      </c>
      <c r="C787" t="s">
        <v>74</v>
      </c>
      <c r="D787" t="s">
        <v>74</v>
      </c>
      <c r="E787" t="s">
        <v>74</v>
      </c>
      <c r="F787" t="s">
        <v>10194</v>
      </c>
      <c r="G787" t="s">
        <v>74</v>
      </c>
      <c r="H787" t="s">
        <v>74</v>
      </c>
      <c r="I787" t="s">
        <v>10195</v>
      </c>
      <c r="J787" t="s">
        <v>953</v>
      </c>
      <c r="K787" t="s">
        <v>74</v>
      </c>
      <c r="L787" t="s">
        <v>74</v>
      </c>
      <c r="M787" t="s">
        <v>77</v>
      </c>
      <c r="N787" t="s">
        <v>78</v>
      </c>
      <c r="O787" t="s">
        <v>74</v>
      </c>
      <c r="P787" t="s">
        <v>74</v>
      </c>
      <c r="Q787" t="s">
        <v>74</v>
      </c>
      <c r="R787" t="s">
        <v>74</v>
      </c>
      <c r="S787" t="s">
        <v>74</v>
      </c>
      <c r="T787" t="s">
        <v>74</v>
      </c>
      <c r="U787" t="s">
        <v>74</v>
      </c>
      <c r="V787" t="s">
        <v>10196</v>
      </c>
      <c r="W787" t="s">
        <v>10197</v>
      </c>
      <c r="X787" t="s">
        <v>10198</v>
      </c>
      <c r="Y787" t="s">
        <v>10199</v>
      </c>
      <c r="Z787" t="s">
        <v>74</v>
      </c>
      <c r="AA787" t="s">
        <v>10200</v>
      </c>
      <c r="AB787" t="s">
        <v>10201</v>
      </c>
      <c r="AC787" t="s">
        <v>74</v>
      </c>
      <c r="AD787" t="s">
        <v>74</v>
      </c>
      <c r="AE787" t="s">
        <v>74</v>
      </c>
      <c r="AF787" t="s">
        <v>74</v>
      </c>
      <c r="AG787">
        <v>7</v>
      </c>
      <c r="AH787">
        <v>25</v>
      </c>
      <c r="AI787">
        <v>28</v>
      </c>
      <c r="AJ787">
        <v>0</v>
      </c>
      <c r="AK787">
        <v>5</v>
      </c>
      <c r="AL787" t="s">
        <v>958</v>
      </c>
      <c r="AM787" t="s">
        <v>959</v>
      </c>
      <c r="AN787" t="s">
        <v>960</v>
      </c>
      <c r="AO787" t="s">
        <v>961</v>
      </c>
      <c r="AP787" t="s">
        <v>74</v>
      </c>
      <c r="AQ787" t="s">
        <v>74</v>
      </c>
      <c r="AR787" t="s">
        <v>953</v>
      </c>
      <c r="AS787" t="s">
        <v>962</v>
      </c>
      <c r="AT787" t="s">
        <v>9913</v>
      </c>
      <c r="AU787">
        <v>1999</v>
      </c>
      <c r="AV787">
        <v>16</v>
      </c>
      <c r="AW787">
        <v>2</v>
      </c>
      <c r="AX787" t="s">
        <v>74</v>
      </c>
      <c r="AY787" t="s">
        <v>74</v>
      </c>
      <c r="AZ787" t="s">
        <v>74</v>
      </c>
      <c r="BA787" t="s">
        <v>74</v>
      </c>
      <c r="BB787">
        <v>69</v>
      </c>
      <c r="BC787" t="s">
        <v>6418</v>
      </c>
      <c r="BD787" t="s">
        <v>74</v>
      </c>
      <c r="BE787" t="s">
        <v>10202</v>
      </c>
      <c r="BF787" t="str">
        <f>HYPERLINK("http://dx.doi.org/10.1109/52.754056","http://dx.doi.org/10.1109/52.754056")</f>
        <v>http://dx.doi.org/10.1109/52.754056</v>
      </c>
      <c r="BG787" t="s">
        <v>74</v>
      </c>
      <c r="BH787" t="s">
        <v>74</v>
      </c>
      <c r="BI787">
        <v>10</v>
      </c>
      <c r="BJ787" t="s">
        <v>964</v>
      </c>
      <c r="BK787" t="s">
        <v>96</v>
      </c>
      <c r="BL787" t="s">
        <v>965</v>
      </c>
      <c r="BM787" t="s">
        <v>10203</v>
      </c>
      <c r="BN787" t="s">
        <v>74</v>
      </c>
      <c r="BO787" t="s">
        <v>74</v>
      </c>
      <c r="BP787" t="s">
        <v>74</v>
      </c>
      <c r="BQ787" t="s">
        <v>74</v>
      </c>
      <c r="BR787" t="s">
        <v>99</v>
      </c>
      <c r="BS787" t="s">
        <v>10204</v>
      </c>
      <c r="BT787" t="str">
        <f>HYPERLINK("https%3A%2F%2Fwww.webofscience.com%2Fwos%2Fwoscc%2Ffull-record%2FWOS:000079198700021","View Full Record in Web of Science")</f>
        <v>View Full Record in Web of Science</v>
      </c>
    </row>
    <row r="788" spans="1:72" x14ac:dyDescent="0.15">
      <c r="A788" t="s">
        <v>72</v>
      </c>
      <c r="B788" t="s">
        <v>10205</v>
      </c>
      <c r="C788" t="s">
        <v>74</v>
      </c>
      <c r="D788" t="s">
        <v>74</v>
      </c>
      <c r="E788" t="s">
        <v>74</v>
      </c>
      <c r="F788" t="s">
        <v>10205</v>
      </c>
      <c r="G788" t="s">
        <v>74</v>
      </c>
      <c r="H788" t="s">
        <v>74</v>
      </c>
      <c r="I788" t="s">
        <v>10206</v>
      </c>
      <c r="J788" t="s">
        <v>1012</v>
      </c>
      <c r="K788" t="s">
        <v>74</v>
      </c>
      <c r="L788" t="s">
        <v>74</v>
      </c>
      <c r="M788" t="s">
        <v>845</v>
      </c>
      <c r="N788" t="s">
        <v>78</v>
      </c>
      <c r="O788" t="s">
        <v>74</v>
      </c>
      <c r="P788" t="s">
        <v>74</v>
      </c>
      <c r="Q788" t="s">
        <v>74</v>
      </c>
      <c r="R788" t="s">
        <v>74</v>
      </c>
      <c r="S788" t="s">
        <v>74</v>
      </c>
      <c r="T788" t="s">
        <v>74</v>
      </c>
      <c r="U788" t="s">
        <v>10207</v>
      </c>
      <c r="V788" t="s">
        <v>10208</v>
      </c>
      <c r="W788" t="s">
        <v>10209</v>
      </c>
      <c r="X788" t="s">
        <v>847</v>
      </c>
      <c r="Y788" t="s">
        <v>7990</v>
      </c>
      <c r="Z788" t="s">
        <v>74</v>
      </c>
      <c r="AA788" t="s">
        <v>74</v>
      </c>
      <c r="AB788" t="s">
        <v>74</v>
      </c>
      <c r="AC788" t="s">
        <v>74</v>
      </c>
      <c r="AD788" t="s">
        <v>74</v>
      </c>
      <c r="AE788" t="s">
        <v>74</v>
      </c>
      <c r="AF788" t="s">
        <v>74</v>
      </c>
      <c r="AG788">
        <v>27</v>
      </c>
      <c r="AH788">
        <v>2</v>
      </c>
      <c r="AI788">
        <v>2</v>
      </c>
      <c r="AJ788">
        <v>0</v>
      </c>
      <c r="AK788">
        <v>0</v>
      </c>
      <c r="AL788" t="s">
        <v>849</v>
      </c>
      <c r="AM788" t="s">
        <v>850</v>
      </c>
      <c r="AN788" t="s">
        <v>851</v>
      </c>
      <c r="AO788" t="s">
        <v>1019</v>
      </c>
      <c r="AP788" t="s">
        <v>74</v>
      </c>
      <c r="AQ788" t="s">
        <v>74</v>
      </c>
      <c r="AR788" t="s">
        <v>1020</v>
      </c>
      <c r="AS788" t="s">
        <v>1021</v>
      </c>
      <c r="AT788" t="s">
        <v>9913</v>
      </c>
      <c r="AU788">
        <v>1999</v>
      </c>
      <c r="AV788">
        <v>35</v>
      </c>
      <c r="AW788">
        <v>2</v>
      </c>
      <c r="AX788" t="s">
        <v>74</v>
      </c>
      <c r="AY788" t="s">
        <v>74</v>
      </c>
      <c r="AZ788" t="s">
        <v>74</v>
      </c>
      <c r="BA788" t="s">
        <v>74</v>
      </c>
      <c r="BB788">
        <v>278</v>
      </c>
      <c r="BC788">
        <v>290</v>
      </c>
      <c r="BD788" t="s">
        <v>74</v>
      </c>
      <c r="BE788" t="s">
        <v>74</v>
      </c>
      <c r="BF788" t="s">
        <v>74</v>
      </c>
      <c r="BG788" t="s">
        <v>74</v>
      </c>
      <c r="BH788" t="s">
        <v>74</v>
      </c>
      <c r="BI788">
        <v>13</v>
      </c>
      <c r="BJ788" t="s">
        <v>1022</v>
      </c>
      <c r="BK788" t="s">
        <v>96</v>
      </c>
      <c r="BL788" t="s">
        <v>1022</v>
      </c>
      <c r="BM788" t="s">
        <v>10210</v>
      </c>
      <c r="BN788" t="s">
        <v>74</v>
      </c>
      <c r="BO788" t="s">
        <v>74</v>
      </c>
      <c r="BP788" t="s">
        <v>74</v>
      </c>
      <c r="BQ788" t="s">
        <v>74</v>
      </c>
      <c r="BR788" t="s">
        <v>99</v>
      </c>
      <c r="BS788" t="s">
        <v>10211</v>
      </c>
      <c r="BT788" t="str">
        <f>HYPERLINK("https%3A%2F%2Fwww.webofscience.com%2Fwos%2Fwoscc%2Ffull-record%2FWOS:000080462100012","View Full Record in Web of Science")</f>
        <v>View Full Record in Web of Science</v>
      </c>
    </row>
    <row r="789" spans="1:72" x14ac:dyDescent="0.15">
      <c r="A789" t="s">
        <v>72</v>
      </c>
      <c r="B789" t="s">
        <v>10212</v>
      </c>
      <c r="C789" t="s">
        <v>74</v>
      </c>
      <c r="D789" t="s">
        <v>74</v>
      </c>
      <c r="E789" t="s">
        <v>74</v>
      </c>
      <c r="F789" t="s">
        <v>10212</v>
      </c>
      <c r="G789" t="s">
        <v>74</v>
      </c>
      <c r="H789" t="s">
        <v>74</v>
      </c>
      <c r="I789" t="s">
        <v>10213</v>
      </c>
      <c r="J789" t="s">
        <v>1027</v>
      </c>
      <c r="K789" t="s">
        <v>74</v>
      </c>
      <c r="L789" t="s">
        <v>74</v>
      </c>
      <c r="M789" t="s">
        <v>77</v>
      </c>
      <c r="N789" t="s">
        <v>78</v>
      </c>
      <c r="O789" t="s">
        <v>74</v>
      </c>
      <c r="P789" t="s">
        <v>74</v>
      </c>
      <c r="Q789" t="s">
        <v>74</v>
      </c>
      <c r="R789" t="s">
        <v>74</v>
      </c>
      <c r="S789" t="s">
        <v>74</v>
      </c>
      <c r="T789" t="s">
        <v>10214</v>
      </c>
      <c r="U789" t="s">
        <v>10215</v>
      </c>
      <c r="V789" t="s">
        <v>10216</v>
      </c>
      <c r="W789" t="s">
        <v>10217</v>
      </c>
      <c r="X789" t="s">
        <v>10218</v>
      </c>
      <c r="Y789" t="s">
        <v>10219</v>
      </c>
      <c r="Z789" t="s">
        <v>10220</v>
      </c>
      <c r="AA789" t="s">
        <v>10221</v>
      </c>
      <c r="AB789" t="s">
        <v>10222</v>
      </c>
      <c r="AC789" t="s">
        <v>74</v>
      </c>
      <c r="AD789" t="s">
        <v>74</v>
      </c>
      <c r="AE789" t="s">
        <v>74</v>
      </c>
      <c r="AF789" t="s">
        <v>74</v>
      </c>
      <c r="AG789">
        <v>65</v>
      </c>
      <c r="AH789">
        <v>152</v>
      </c>
      <c r="AI789">
        <v>159</v>
      </c>
      <c r="AJ789">
        <v>0</v>
      </c>
      <c r="AK789">
        <v>53</v>
      </c>
      <c r="AL789" t="s">
        <v>863</v>
      </c>
      <c r="AM789" t="s">
        <v>276</v>
      </c>
      <c r="AN789" t="s">
        <v>864</v>
      </c>
      <c r="AO789" t="s">
        <v>1036</v>
      </c>
      <c r="AP789" t="s">
        <v>74</v>
      </c>
      <c r="AQ789" t="s">
        <v>74</v>
      </c>
      <c r="AR789" t="s">
        <v>1038</v>
      </c>
      <c r="AS789" t="s">
        <v>1039</v>
      </c>
      <c r="AT789" t="s">
        <v>9735</v>
      </c>
      <c r="AU789">
        <v>1999</v>
      </c>
      <c r="AV789">
        <v>68</v>
      </c>
      <c r="AW789">
        <v>2</v>
      </c>
      <c r="AX789" t="s">
        <v>74</v>
      </c>
      <c r="AY789" t="s">
        <v>74</v>
      </c>
      <c r="AZ789" t="s">
        <v>74</v>
      </c>
      <c r="BA789" t="s">
        <v>74</v>
      </c>
      <c r="BB789">
        <v>235</v>
      </c>
      <c r="BC789">
        <v>253</v>
      </c>
      <c r="BD789" t="s">
        <v>74</v>
      </c>
      <c r="BE789" t="s">
        <v>10223</v>
      </c>
      <c r="BF789" t="str">
        <f>HYPERLINK("http://dx.doi.org/10.1046/j.1365-2656.1999.00281.x","http://dx.doi.org/10.1046/j.1365-2656.1999.00281.x")</f>
        <v>http://dx.doi.org/10.1046/j.1365-2656.1999.00281.x</v>
      </c>
      <c r="BG789" t="s">
        <v>74</v>
      </c>
      <c r="BH789" t="s">
        <v>74</v>
      </c>
      <c r="BI789">
        <v>19</v>
      </c>
      <c r="BJ789" t="s">
        <v>1041</v>
      </c>
      <c r="BK789" t="s">
        <v>96</v>
      </c>
      <c r="BL789" t="s">
        <v>1042</v>
      </c>
      <c r="BM789" t="s">
        <v>10224</v>
      </c>
      <c r="BN789" t="s">
        <v>74</v>
      </c>
      <c r="BO789" t="s">
        <v>250</v>
      </c>
      <c r="BP789" t="s">
        <v>74</v>
      </c>
      <c r="BQ789" t="s">
        <v>74</v>
      </c>
      <c r="BR789" t="s">
        <v>99</v>
      </c>
      <c r="BS789" t="s">
        <v>10225</v>
      </c>
      <c r="BT789" t="str">
        <f>HYPERLINK("https%3A%2F%2Fwww.webofscience.com%2Fwos%2Fwoscc%2Ffull-record%2FWOS:000079729400002","View Full Record in Web of Science")</f>
        <v>View Full Record in Web of Science</v>
      </c>
    </row>
    <row r="790" spans="1:72" x14ac:dyDescent="0.15">
      <c r="A790" t="s">
        <v>72</v>
      </c>
      <c r="B790" t="s">
        <v>10226</v>
      </c>
      <c r="C790" t="s">
        <v>74</v>
      </c>
      <c r="D790" t="s">
        <v>74</v>
      </c>
      <c r="E790" t="s">
        <v>74</v>
      </c>
      <c r="F790" t="s">
        <v>10226</v>
      </c>
      <c r="G790" t="s">
        <v>74</v>
      </c>
      <c r="H790" t="s">
        <v>74</v>
      </c>
      <c r="I790" t="s">
        <v>10227</v>
      </c>
      <c r="J790" t="s">
        <v>3455</v>
      </c>
      <c r="K790" t="s">
        <v>74</v>
      </c>
      <c r="L790" t="s">
        <v>74</v>
      </c>
      <c r="M790" t="s">
        <v>77</v>
      </c>
      <c r="N790" t="s">
        <v>78</v>
      </c>
      <c r="O790" t="s">
        <v>74</v>
      </c>
      <c r="P790" t="s">
        <v>74</v>
      </c>
      <c r="Q790" t="s">
        <v>74</v>
      </c>
      <c r="R790" t="s">
        <v>74</v>
      </c>
      <c r="S790" t="s">
        <v>74</v>
      </c>
      <c r="T790" t="s">
        <v>74</v>
      </c>
      <c r="U790" t="s">
        <v>10228</v>
      </c>
      <c r="V790" t="s">
        <v>10229</v>
      </c>
      <c r="W790" t="s">
        <v>151</v>
      </c>
      <c r="X790" t="s">
        <v>131</v>
      </c>
      <c r="Y790" t="s">
        <v>10230</v>
      </c>
      <c r="Z790" t="s">
        <v>74</v>
      </c>
      <c r="AA790" t="s">
        <v>74</v>
      </c>
      <c r="AB790" t="s">
        <v>74</v>
      </c>
      <c r="AC790" t="s">
        <v>74</v>
      </c>
      <c r="AD790" t="s">
        <v>74</v>
      </c>
      <c r="AE790" t="s">
        <v>74</v>
      </c>
      <c r="AF790" t="s">
        <v>74</v>
      </c>
      <c r="AG790">
        <v>25</v>
      </c>
      <c r="AH790">
        <v>21</v>
      </c>
      <c r="AI790">
        <v>21</v>
      </c>
      <c r="AJ790">
        <v>0</v>
      </c>
      <c r="AK790">
        <v>1</v>
      </c>
      <c r="AL790" t="s">
        <v>275</v>
      </c>
      <c r="AM790" t="s">
        <v>276</v>
      </c>
      <c r="AN790" t="s">
        <v>277</v>
      </c>
      <c r="AO790" t="s">
        <v>3461</v>
      </c>
      <c r="AP790" t="s">
        <v>74</v>
      </c>
      <c r="AQ790" t="s">
        <v>74</v>
      </c>
      <c r="AR790" t="s">
        <v>3462</v>
      </c>
      <c r="AS790" t="s">
        <v>3463</v>
      </c>
      <c r="AT790" t="s">
        <v>9735</v>
      </c>
      <c r="AU790">
        <v>1999</v>
      </c>
      <c r="AV790">
        <v>61</v>
      </c>
      <c r="AW790">
        <v>5</v>
      </c>
      <c r="AX790" t="s">
        <v>74</v>
      </c>
      <c r="AY790" t="s">
        <v>74</v>
      </c>
      <c r="AZ790" t="s">
        <v>74</v>
      </c>
      <c r="BA790" t="s">
        <v>74</v>
      </c>
      <c r="BB790">
        <v>351</v>
      </c>
      <c r="BC790">
        <v>362</v>
      </c>
      <c r="BD790" t="s">
        <v>74</v>
      </c>
      <c r="BE790" t="s">
        <v>10231</v>
      </c>
      <c r="BF790" t="str">
        <f>HYPERLINK("http://dx.doi.org/10.1016/S1364-6826(98)00156-4","http://dx.doi.org/10.1016/S1364-6826(98)00156-4")</f>
        <v>http://dx.doi.org/10.1016/S1364-6826(98)00156-4</v>
      </c>
      <c r="BG790" t="s">
        <v>74</v>
      </c>
      <c r="BH790" t="s">
        <v>74</v>
      </c>
      <c r="BI790">
        <v>12</v>
      </c>
      <c r="BJ790" t="s">
        <v>3465</v>
      </c>
      <c r="BK790" t="s">
        <v>96</v>
      </c>
      <c r="BL790" t="s">
        <v>3465</v>
      </c>
      <c r="BM790" t="s">
        <v>10232</v>
      </c>
      <c r="BN790" t="s">
        <v>74</v>
      </c>
      <c r="BO790" t="s">
        <v>74</v>
      </c>
      <c r="BP790" t="s">
        <v>74</v>
      </c>
      <c r="BQ790" t="s">
        <v>74</v>
      </c>
      <c r="BR790" t="s">
        <v>99</v>
      </c>
      <c r="BS790" t="s">
        <v>10233</v>
      </c>
      <c r="BT790" t="str">
        <f>HYPERLINK("https%3A%2F%2Fwww.webofscience.com%2Fwos%2Fwoscc%2Ffull-record%2FWOS:000080170300001","View Full Record in Web of Science")</f>
        <v>View Full Record in Web of Science</v>
      </c>
    </row>
    <row r="791" spans="1:72" x14ac:dyDescent="0.15">
      <c r="A791" t="s">
        <v>72</v>
      </c>
      <c r="B791" t="s">
        <v>10234</v>
      </c>
      <c r="C791" t="s">
        <v>74</v>
      </c>
      <c r="D791" t="s">
        <v>74</v>
      </c>
      <c r="E791" t="s">
        <v>74</v>
      </c>
      <c r="F791" t="s">
        <v>10234</v>
      </c>
      <c r="G791" t="s">
        <v>74</v>
      </c>
      <c r="H791" t="s">
        <v>74</v>
      </c>
      <c r="I791" t="s">
        <v>10235</v>
      </c>
      <c r="J791" t="s">
        <v>1047</v>
      </c>
      <c r="K791" t="s">
        <v>74</v>
      </c>
      <c r="L791" t="s">
        <v>74</v>
      </c>
      <c r="M791" t="s">
        <v>77</v>
      </c>
      <c r="N791" t="s">
        <v>78</v>
      </c>
      <c r="O791" t="s">
        <v>74</v>
      </c>
      <c r="P791" t="s">
        <v>74</v>
      </c>
      <c r="Q791" t="s">
        <v>74</v>
      </c>
      <c r="R791" t="s">
        <v>74</v>
      </c>
      <c r="S791" t="s">
        <v>74</v>
      </c>
      <c r="T791" t="s">
        <v>10236</v>
      </c>
      <c r="U791" t="s">
        <v>10237</v>
      </c>
      <c r="V791" t="s">
        <v>10238</v>
      </c>
      <c r="W791" t="s">
        <v>10239</v>
      </c>
      <c r="X791" t="s">
        <v>10240</v>
      </c>
      <c r="Y791" t="s">
        <v>2995</v>
      </c>
      <c r="Z791" t="s">
        <v>74</v>
      </c>
      <c r="AA791" t="s">
        <v>74</v>
      </c>
      <c r="AB791" t="s">
        <v>74</v>
      </c>
      <c r="AC791" t="s">
        <v>74</v>
      </c>
      <c r="AD791" t="s">
        <v>74</v>
      </c>
      <c r="AE791" t="s">
        <v>74</v>
      </c>
      <c r="AF791" t="s">
        <v>74</v>
      </c>
      <c r="AG791">
        <v>33</v>
      </c>
      <c r="AH791">
        <v>19</v>
      </c>
      <c r="AI791">
        <v>20</v>
      </c>
      <c r="AJ791">
        <v>0</v>
      </c>
      <c r="AK791">
        <v>7</v>
      </c>
      <c r="AL791" t="s">
        <v>863</v>
      </c>
      <c r="AM791" t="s">
        <v>276</v>
      </c>
      <c r="AN791" t="s">
        <v>864</v>
      </c>
      <c r="AO791" t="s">
        <v>1054</v>
      </c>
      <c r="AP791" t="s">
        <v>74</v>
      </c>
      <c r="AQ791" t="s">
        <v>74</v>
      </c>
      <c r="AR791" t="s">
        <v>1055</v>
      </c>
      <c r="AS791" t="s">
        <v>1056</v>
      </c>
      <c r="AT791" t="s">
        <v>9735</v>
      </c>
      <c r="AU791">
        <v>1999</v>
      </c>
      <c r="AV791">
        <v>26</v>
      </c>
      <c r="AW791">
        <v>2</v>
      </c>
      <c r="AX791" t="s">
        <v>74</v>
      </c>
      <c r="AY791" t="s">
        <v>74</v>
      </c>
      <c r="AZ791" t="s">
        <v>74</v>
      </c>
      <c r="BA791" t="s">
        <v>74</v>
      </c>
      <c r="BB791">
        <v>207</v>
      </c>
      <c r="BC791">
        <v>213</v>
      </c>
      <c r="BD791" t="s">
        <v>74</v>
      </c>
      <c r="BE791" t="s">
        <v>10241</v>
      </c>
      <c r="BF791" t="str">
        <f>HYPERLINK("http://dx.doi.org/10.1046/j.1365-2699.1999.00264.x","http://dx.doi.org/10.1046/j.1365-2699.1999.00264.x")</f>
        <v>http://dx.doi.org/10.1046/j.1365-2699.1999.00264.x</v>
      </c>
      <c r="BG791" t="s">
        <v>74</v>
      </c>
      <c r="BH791" t="s">
        <v>74</v>
      </c>
      <c r="BI791">
        <v>7</v>
      </c>
      <c r="BJ791" t="s">
        <v>1058</v>
      </c>
      <c r="BK791" t="s">
        <v>96</v>
      </c>
      <c r="BL791" t="s">
        <v>597</v>
      </c>
      <c r="BM791" t="s">
        <v>10242</v>
      </c>
      <c r="BN791" t="s">
        <v>74</v>
      </c>
      <c r="BO791" t="s">
        <v>74</v>
      </c>
      <c r="BP791" t="s">
        <v>74</v>
      </c>
      <c r="BQ791" t="s">
        <v>74</v>
      </c>
      <c r="BR791" t="s">
        <v>99</v>
      </c>
      <c r="BS791" t="s">
        <v>10243</v>
      </c>
      <c r="BT791" t="str">
        <f>HYPERLINK("https%3A%2F%2Fwww.webofscience.com%2Fwos%2Fwoscc%2Ffull-record%2FWOS:000081618000002","View Full Record in Web of Science")</f>
        <v>View Full Record in Web of Science</v>
      </c>
    </row>
    <row r="792" spans="1:72" x14ac:dyDescent="0.15">
      <c r="A792" t="s">
        <v>72</v>
      </c>
      <c r="B792" t="s">
        <v>10244</v>
      </c>
      <c r="C792" t="s">
        <v>74</v>
      </c>
      <c r="D792" t="s">
        <v>74</v>
      </c>
      <c r="E792" t="s">
        <v>74</v>
      </c>
      <c r="F792" t="s">
        <v>10244</v>
      </c>
      <c r="G792" t="s">
        <v>74</v>
      </c>
      <c r="H792" t="s">
        <v>74</v>
      </c>
      <c r="I792" t="s">
        <v>10245</v>
      </c>
      <c r="J792" t="s">
        <v>6932</v>
      </c>
      <c r="K792" t="s">
        <v>74</v>
      </c>
      <c r="L792" t="s">
        <v>74</v>
      </c>
      <c r="M792" t="s">
        <v>77</v>
      </c>
      <c r="N792" t="s">
        <v>78</v>
      </c>
      <c r="O792" t="s">
        <v>74</v>
      </c>
      <c r="P792" t="s">
        <v>74</v>
      </c>
      <c r="Q792" t="s">
        <v>74</v>
      </c>
      <c r="R792" t="s">
        <v>74</v>
      </c>
      <c r="S792" t="s">
        <v>74</v>
      </c>
      <c r="T792" t="s">
        <v>10246</v>
      </c>
      <c r="U792" t="s">
        <v>10247</v>
      </c>
      <c r="V792" t="s">
        <v>10248</v>
      </c>
      <c r="W792" t="s">
        <v>10249</v>
      </c>
      <c r="X792" t="s">
        <v>10250</v>
      </c>
      <c r="Y792" t="s">
        <v>10251</v>
      </c>
      <c r="Z792" t="s">
        <v>10252</v>
      </c>
      <c r="AA792" t="s">
        <v>6144</v>
      </c>
      <c r="AB792" t="s">
        <v>6145</v>
      </c>
      <c r="AC792" t="s">
        <v>74</v>
      </c>
      <c r="AD792" t="s">
        <v>74</v>
      </c>
      <c r="AE792" t="s">
        <v>74</v>
      </c>
      <c r="AF792" t="s">
        <v>74</v>
      </c>
      <c r="AG792">
        <v>36</v>
      </c>
      <c r="AH792">
        <v>53</v>
      </c>
      <c r="AI792">
        <v>58</v>
      </c>
      <c r="AJ792">
        <v>0</v>
      </c>
      <c r="AK792">
        <v>4</v>
      </c>
      <c r="AL792" t="s">
        <v>210</v>
      </c>
      <c r="AM792" t="s">
        <v>211</v>
      </c>
      <c r="AN792" t="s">
        <v>212</v>
      </c>
      <c r="AO792" t="s">
        <v>6941</v>
      </c>
      <c r="AP792" t="s">
        <v>10253</v>
      </c>
      <c r="AQ792" t="s">
        <v>74</v>
      </c>
      <c r="AR792" t="s">
        <v>6942</v>
      </c>
      <c r="AS792" t="s">
        <v>6943</v>
      </c>
      <c r="AT792" t="s">
        <v>9735</v>
      </c>
      <c r="AU792">
        <v>1999</v>
      </c>
      <c r="AV792">
        <v>19</v>
      </c>
      <c r="AW792">
        <v>4</v>
      </c>
      <c r="AX792" t="s">
        <v>74</v>
      </c>
      <c r="AY792" t="s">
        <v>74</v>
      </c>
      <c r="AZ792" t="s">
        <v>74</v>
      </c>
      <c r="BA792" t="s">
        <v>74</v>
      </c>
      <c r="BB792">
        <v>219</v>
      </c>
      <c r="BC792">
        <v>233</v>
      </c>
      <c r="BD792" t="s">
        <v>74</v>
      </c>
      <c r="BE792" t="s">
        <v>10254</v>
      </c>
      <c r="BF792" t="str">
        <f>HYPERLINK("http://dx.doi.org/10.1016/S0924-7963(98)00091-8","http://dx.doi.org/10.1016/S0924-7963(98)00091-8")</f>
        <v>http://dx.doi.org/10.1016/S0924-7963(98)00091-8</v>
      </c>
      <c r="BG792" t="s">
        <v>74</v>
      </c>
      <c r="BH792" t="s">
        <v>74</v>
      </c>
      <c r="BI792">
        <v>15</v>
      </c>
      <c r="BJ792" t="s">
        <v>6945</v>
      </c>
      <c r="BK792" t="s">
        <v>96</v>
      </c>
      <c r="BL792" t="s">
        <v>6946</v>
      </c>
      <c r="BM792" t="s">
        <v>10255</v>
      </c>
      <c r="BN792" t="s">
        <v>74</v>
      </c>
      <c r="BO792" t="s">
        <v>518</v>
      </c>
      <c r="BP792" t="s">
        <v>74</v>
      </c>
      <c r="BQ792" t="s">
        <v>74</v>
      </c>
      <c r="BR792" t="s">
        <v>99</v>
      </c>
      <c r="BS792" t="s">
        <v>10256</v>
      </c>
      <c r="BT792" t="str">
        <f>HYPERLINK("https%3A%2F%2Fwww.webofscience.com%2Fwos%2Fwoscc%2Ffull-record%2FWOS:000078740800001","View Full Record in Web of Science")</f>
        <v>View Full Record in Web of Science</v>
      </c>
    </row>
    <row r="793" spans="1:72" x14ac:dyDescent="0.15">
      <c r="A793" t="s">
        <v>72</v>
      </c>
      <c r="B793" t="s">
        <v>10257</v>
      </c>
      <c r="C793" t="s">
        <v>74</v>
      </c>
      <c r="D793" t="s">
        <v>74</v>
      </c>
      <c r="E793" t="s">
        <v>74</v>
      </c>
      <c r="F793" t="s">
        <v>10257</v>
      </c>
      <c r="G793" t="s">
        <v>74</v>
      </c>
      <c r="H793" t="s">
        <v>74</v>
      </c>
      <c r="I793" t="s">
        <v>10258</v>
      </c>
      <c r="J793" t="s">
        <v>10259</v>
      </c>
      <c r="K793" t="s">
        <v>74</v>
      </c>
      <c r="L793" t="s">
        <v>74</v>
      </c>
      <c r="M793" t="s">
        <v>77</v>
      </c>
      <c r="N793" t="s">
        <v>254</v>
      </c>
      <c r="O793" t="s">
        <v>74</v>
      </c>
      <c r="P793" t="s">
        <v>74</v>
      </c>
      <c r="Q793" t="s">
        <v>74</v>
      </c>
      <c r="R793" t="s">
        <v>74</v>
      </c>
      <c r="S793" t="s">
        <v>74</v>
      </c>
      <c r="T793" t="s">
        <v>10260</v>
      </c>
      <c r="U793" t="s">
        <v>74</v>
      </c>
      <c r="V793" t="s">
        <v>10261</v>
      </c>
      <c r="W793" t="s">
        <v>10262</v>
      </c>
      <c r="X793" t="s">
        <v>10263</v>
      </c>
      <c r="Y793" t="s">
        <v>10264</v>
      </c>
      <c r="Z793" t="s">
        <v>74</v>
      </c>
      <c r="AA793" t="s">
        <v>10265</v>
      </c>
      <c r="AB793" t="s">
        <v>74</v>
      </c>
      <c r="AC793" t="s">
        <v>74</v>
      </c>
      <c r="AD793" t="s">
        <v>74</v>
      </c>
      <c r="AE793" t="s">
        <v>74</v>
      </c>
      <c r="AF793" t="s">
        <v>74</v>
      </c>
      <c r="AG793">
        <v>91</v>
      </c>
      <c r="AH793">
        <v>19</v>
      </c>
      <c r="AI793">
        <v>19</v>
      </c>
      <c r="AJ793">
        <v>0</v>
      </c>
      <c r="AK793">
        <v>0</v>
      </c>
      <c r="AL793" t="s">
        <v>1645</v>
      </c>
      <c r="AM793" t="s">
        <v>1646</v>
      </c>
      <c r="AN793" t="s">
        <v>1647</v>
      </c>
      <c r="AO793" t="s">
        <v>10266</v>
      </c>
      <c r="AP793" t="s">
        <v>10267</v>
      </c>
      <c r="AQ793" t="s">
        <v>74</v>
      </c>
      <c r="AR793" t="s">
        <v>10268</v>
      </c>
      <c r="AS793" t="s">
        <v>10269</v>
      </c>
      <c r="AT793" t="s">
        <v>9735</v>
      </c>
      <c r="AU793">
        <v>1999</v>
      </c>
      <c r="AV793">
        <v>33</v>
      </c>
      <c r="AW793">
        <v>3</v>
      </c>
      <c r="AX793" t="s">
        <v>74</v>
      </c>
      <c r="AY793" t="s">
        <v>74</v>
      </c>
      <c r="AZ793" t="s">
        <v>74</v>
      </c>
      <c r="BA793" t="s">
        <v>74</v>
      </c>
      <c r="BB793">
        <v>351</v>
      </c>
      <c r="BC793">
        <v>386</v>
      </c>
      <c r="BD793" t="s">
        <v>74</v>
      </c>
      <c r="BE793" t="s">
        <v>10270</v>
      </c>
      <c r="BF793" t="str">
        <f>HYPERLINK("http://dx.doi.org/10.1080/002229399300290","http://dx.doi.org/10.1080/002229399300290")</f>
        <v>http://dx.doi.org/10.1080/002229399300290</v>
      </c>
      <c r="BG793" t="s">
        <v>74</v>
      </c>
      <c r="BH793" t="s">
        <v>74</v>
      </c>
      <c r="BI793">
        <v>36</v>
      </c>
      <c r="BJ793" t="s">
        <v>10271</v>
      </c>
      <c r="BK793" t="s">
        <v>96</v>
      </c>
      <c r="BL793" t="s">
        <v>10272</v>
      </c>
      <c r="BM793" t="s">
        <v>10273</v>
      </c>
      <c r="BN793" t="s">
        <v>74</v>
      </c>
      <c r="BO793" t="s">
        <v>74</v>
      </c>
      <c r="BP793" t="s">
        <v>74</v>
      </c>
      <c r="BQ793" t="s">
        <v>74</v>
      </c>
      <c r="BR793" t="s">
        <v>99</v>
      </c>
      <c r="BS793" t="s">
        <v>10274</v>
      </c>
      <c r="BT793" t="str">
        <f>HYPERLINK("https%3A%2F%2Fwww.webofscience.com%2Fwos%2Fwoscc%2Ffull-record%2FWOS:000079199900002","View Full Record in Web of Science")</f>
        <v>View Full Record in Web of Science</v>
      </c>
    </row>
    <row r="794" spans="1:72" x14ac:dyDescent="0.15">
      <c r="A794" t="s">
        <v>72</v>
      </c>
      <c r="B794" t="s">
        <v>10275</v>
      </c>
      <c r="C794" t="s">
        <v>74</v>
      </c>
      <c r="D794" t="s">
        <v>74</v>
      </c>
      <c r="E794" t="s">
        <v>74</v>
      </c>
      <c r="F794" t="s">
        <v>10275</v>
      </c>
      <c r="G794" t="s">
        <v>74</v>
      </c>
      <c r="H794" t="s">
        <v>74</v>
      </c>
      <c r="I794" t="s">
        <v>10276</v>
      </c>
      <c r="J794" t="s">
        <v>10277</v>
      </c>
      <c r="K794" t="s">
        <v>74</v>
      </c>
      <c r="L794" t="s">
        <v>74</v>
      </c>
      <c r="M794" t="s">
        <v>77</v>
      </c>
      <c r="N794" t="s">
        <v>78</v>
      </c>
      <c r="O794" t="s">
        <v>74</v>
      </c>
      <c r="P794" t="s">
        <v>74</v>
      </c>
      <c r="Q794" t="s">
        <v>74</v>
      </c>
      <c r="R794" t="s">
        <v>74</v>
      </c>
      <c r="S794" t="s">
        <v>74</v>
      </c>
      <c r="T794" t="s">
        <v>10278</v>
      </c>
      <c r="U794" t="s">
        <v>10279</v>
      </c>
      <c r="V794" t="s">
        <v>10280</v>
      </c>
      <c r="W794" t="s">
        <v>10281</v>
      </c>
      <c r="X794" t="s">
        <v>4828</v>
      </c>
      <c r="Y794" t="s">
        <v>10282</v>
      </c>
      <c r="Z794" t="s">
        <v>74</v>
      </c>
      <c r="AA794" t="s">
        <v>74</v>
      </c>
      <c r="AB794" t="s">
        <v>74</v>
      </c>
      <c r="AC794" t="s">
        <v>74</v>
      </c>
      <c r="AD794" t="s">
        <v>74</v>
      </c>
      <c r="AE794" t="s">
        <v>74</v>
      </c>
      <c r="AF794" t="s">
        <v>74</v>
      </c>
      <c r="AG794">
        <v>25</v>
      </c>
      <c r="AH794">
        <v>2</v>
      </c>
      <c r="AI794">
        <v>2</v>
      </c>
      <c r="AJ794">
        <v>0</v>
      </c>
      <c r="AK794">
        <v>3</v>
      </c>
      <c r="AL794" t="s">
        <v>5555</v>
      </c>
      <c r="AM794" t="s">
        <v>5269</v>
      </c>
      <c r="AN794" t="s">
        <v>5556</v>
      </c>
      <c r="AO794" t="s">
        <v>10283</v>
      </c>
      <c r="AP794" t="s">
        <v>74</v>
      </c>
      <c r="AQ794" t="s">
        <v>74</v>
      </c>
      <c r="AR794" t="s">
        <v>10284</v>
      </c>
      <c r="AS794" t="s">
        <v>10285</v>
      </c>
      <c r="AT794" t="s">
        <v>9735</v>
      </c>
      <c r="AU794">
        <v>1999</v>
      </c>
      <c r="AV794">
        <v>21</v>
      </c>
      <c r="AW794">
        <v>3</v>
      </c>
      <c r="AX794" t="s">
        <v>74</v>
      </c>
      <c r="AY794" t="s">
        <v>74</v>
      </c>
      <c r="AZ794" t="s">
        <v>74</v>
      </c>
      <c r="BA794" t="s">
        <v>74</v>
      </c>
      <c r="BB794">
        <v>263</v>
      </c>
      <c r="BC794">
        <v>269</v>
      </c>
      <c r="BD794" t="s">
        <v>74</v>
      </c>
      <c r="BE794" t="s">
        <v>10286</v>
      </c>
      <c r="BF794" t="str">
        <f>HYPERLINK("http://dx.doi.org/10.1023/A:1008064029510","http://dx.doi.org/10.1023/A:1008064029510")</f>
        <v>http://dx.doi.org/10.1023/A:1008064029510</v>
      </c>
      <c r="BG794" t="s">
        <v>74</v>
      </c>
      <c r="BH794" t="s">
        <v>74</v>
      </c>
      <c r="BI794">
        <v>7</v>
      </c>
      <c r="BJ794" t="s">
        <v>10287</v>
      </c>
      <c r="BK794" t="s">
        <v>96</v>
      </c>
      <c r="BL794" t="s">
        <v>10288</v>
      </c>
      <c r="BM794" t="s">
        <v>10289</v>
      </c>
      <c r="BN794" t="s">
        <v>74</v>
      </c>
      <c r="BO794" t="s">
        <v>74</v>
      </c>
      <c r="BP794" t="s">
        <v>74</v>
      </c>
      <c r="BQ794" t="s">
        <v>74</v>
      </c>
      <c r="BR794" t="s">
        <v>99</v>
      </c>
      <c r="BS794" t="s">
        <v>10290</v>
      </c>
      <c r="BT794" t="str">
        <f>HYPERLINK("https%3A%2F%2Fwww.webofscience.com%2Fwos%2Fwoscc%2Ffull-record%2FWOS:000080288100002","View Full Record in Web of Science")</f>
        <v>View Full Record in Web of Science</v>
      </c>
    </row>
    <row r="795" spans="1:72" x14ac:dyDescent="0.15">
      <c r="A795" t="s">
        <v>72</v>
      </c>
      <c r="B795" t="s">
        <v>10291</v>
      </c>
      <c r="C795" t="s">
        <v>74</v>
      </c>
      <c r="D795" t="s">
        <v>74</v>
      </c>
      <c r="E795" t="s">
        <v>74</v>
      </c>
      <c r="F795" t="s">
        <v>10291</v>
      </c>
      <c r="G795" t="s">
        <v>74</v>
      </c>
      <c r="H795" t="s">
        <v>74</v>
      </c>
      <c r="I795" t="s">
        <v>10292</v>
      </c>
      <c r="J795" t="s">
        <v>1100</v>
      </c>
      <c r="K795" t="s">
        <v>74</v>
      </c>
      <c r="L795" t="s">
        <v>74</v>
      </c>
      <c r="M795" t="s">
        <v>77</v>
      </c>
      <c r="N795" t="s">
        <v>78</v>
      </c>
      <c r="O795" t="s">
        <v>74</v>
      </c>
      <c r="P795" t="s">
        <v>74</v>
      </c>
      <c r="Q795" t="s">
        <v>74</v>
      </c>
      <c r="R795" t="s">
        <v>74</v>
      </c>
      <c r="S795" t="s">
        <v>74</v>
      </c>
      <c r="T795" t="s">
        <v>74</v>
      </c>
      <c r="U795" t="s">
        <v>10293</v>
      </c>
      <c r="V795" t="s">
        <v>10294</v>
      </c>
      <c r="W795" t="s">
        <v>10295</v>
      </c>
      <c r="X795" t="s">
        <v>10296</v>
      </c>
      <c r="Y795" t="s">
        <v>10297</v>
      </c>
      <c r="Z795" t="s">
        <v>74</v>
      </c>
      <c r="AA795" t="s">
        <v>74</v>
      </c>
      <c r="AB795" t="s">
        <v>74</v>
      </c>
      <c r="AC795" t="s">
        <v>74</v>
      </c>
      <c r="AD795" t="s">
        <v>74</v>
      </c>
      <c r="AE795" t="s">
        <v>74</v>
      </c>
      <c r="AF795" t="s">
        <v>74</v>
      </c>
      <c r="AG795">
        <v>40</v>
      </c>
      <c r="AH795">
        <v>28</v>
      </c>
      <c r="AI795">
        <v>30</v>
      </c>
      <c r="AJ795">
        <v>0</v>
      </c>
      <c r="AK795">
        <v>4</v>
      </c>
      <c r="AL795" t="s">
        <v>86</v>
      </c>
      <c r="AM795" t="s">
        <v>87</v>
      </c>
      <c r="AN795" t="s">
        <v>88</v>
      </c>
      <c r="AO795" t="s">
        <v>1106</v>
      </c>
      <c r="AP795" t="s">
        <v>2302</v>
      </c>
      <c r="AQ795" t="s">
        <v>74</v>
      </c>
      <c r="AR795" t="s">
        <v>1107</v>
      </c>
      <c r="AS795" t="s">
        <v>1108</v>
      </c>
      <c r="AT795" t="s">
        <v>9735</v>
      </c>
      <c r="AU795">
        <v>1999</v>
      </c>
      <c r="AV795">
        <v>29</v>
      </c>
      <c r="AW795">
        <v>3</v>
      </c>
      <c r="AX795" t="s">
        <v>74</v>
      </c>
      <c r="AY795" t="s">
        <v>74</v>
      </c>
      <c r="AZ795" t="s">
        <v>74</v>
      </c>
      <c r="BA795" t="s">
        <v>74</v>
      </c>
      <c r="BB795">
        <v>328</v>
      </c>
      <c r="BC795">
        <v>350</v>
      </c>
      <c r="BD795" t="s">
        <v>74</v>
      </c>
      <c r="BE795" t="s">
        <v>10298</v>
      </c>
      <c r="BF795" t="str">
        <f>HYPERLINK("http://dx.doi.org/10.1175/1520-0485(1999)029&lt;0328:EINMOT&gt;2.0.CO;2","http://dx.doi.org/10.1175/1520-0485(1999)029&lt;0328:EINMOT&gt;2.0.CO;2")</f>
        <v>http://dx.doi.org/10.1175/1520-0485(1999)029&lt;0328:EINMOT&gt;2.0.CO;2</v>
      </c>
      <c r="BG795" t="s">
        <v>74</v>
      </c>
      <c r="BH795" t="s">
        <v>74</v>
      </c>
      <c r="BI795">
        <v>23</v>
      </c>
      <c r="BJ795" t="s">
        <v>416</v>
      </c>
      <c r="BK795" t="s">
        <v>96</v>
      </c>
      <c r="BL795" t="s">
        <v>416</v>
      </c>
      <c r="BM795" t="s">
        <v>10299</v>
      </c>
      <c r="BN795" t="s">
        <v>74</v>
      </c>
      <c r="BO795" t="s">
        <v>98</v>
      </c>
      <c r="BP795" t="s">
        <v>74</v>
      </c>
      <c r="BQ795" t="s">
        <v>74</v>
      </c>
      <c r="BR795" t="s">
        <v>99</v>
      </c>
      <c r="BS795" t="s">
        <v>10300</v>
      </c>
      <c r="BT795" t="str">
        <f>HYPERLINK("https%3A%2F%2Fwww.webofscience.com%2Fwos%2Fwoscc%2Ffull-record%2FWOS:000079228200002","View Full Record in Web of Science")</f>
        <v>View Full Record in Web of Science</v>
      </c>
    </row>
    <row r="796" spans="1:72" x14ac:dyDescent="0.15">
      <c r="A796" t="s">
        <v>72</v>
      </c>
      <c r="B796" t="s">
        <v>10301</v>
      </c>
      <c r="C796" t="s">
        <v>74</v>
      </c>
      <c r="D796" t="s">
        <v>74</v>
      </c>
      <c r="E796" t="s">
        <v>74</v>
      </c>
      <c r="F796" t="s">
        <v>10301</v>
      </c>
      <c r="G796" t="s">
        <v>74</v>
      </c>
      <c r="H796" t="s">
        <v>74</v>
      </c>
      <c r="I796" t="s">
        <v>10302</v>
      </c>
      <c r="J796" t="s">
        <v>1100</v>
      </c>
      <c r="K796" t="s">
        <v>74</v>
      </c>
      <c r="L796" t="s">
        <v>74</v>
      </c>
      <c r="M796" t="s">
        <v>77</v>
      </c>
      <c r="N796" t="s">
        <v>78</v>
      </c>
      <c r="O796" t="s">
        <v>74</v>
      </c>
      <c r="P796" t="s">
        <v>74</v>
      </c>
      <c r="Q796" t="s">
        <v>74</v>
      </c>
      <c r="R796" t="s">
        <v>74</v>
      </c>
      <c r="S796" t="s">
        <v>74</v>
      </c>
      <c r="T796" t="s">
        <v>74</v>
      </c>
      <c r="U796" t="s">
        <v>10303</v>
      </c>
      <c r="V796" t="s">
        <v>10304</v>
      </c>
      <c r="W796" t="s">
        <v>10305</v>
      </c>
      <c r="X796" t="s">
        <v>10306</v>
      </c>
      <c r="Y796" t="s">
        <v>10307</v>
      </c>
      <c r="Z796" t="s">
        <v>74</v>
      </c>
      <c r="AA796" t="s">
        <v>10308</v>
      </c>
      <c r="AB796" t="s">
        <v>10309</v>
      </c>
      <c r="AC796" t="s">
        <v>74</v>
      </c>
      <c r="AD796" t="s">
        <v>74</v>
      </c>
      <c r="AE796" t="s">
        <v>74</v>
      </c>
      <c r="AF796" t="s">
        <v>74</v>
      </c>
      <c r="AG796">
        <v>43</v>
      </c>
      <c r="AH796">
        <v>23</v>
      </c>
      <c r="AI796">
        <v>25</v>
      </c>
      <c r="AJ796">
        <v>0</v>
      </c>
      <c r="AK796">
        <v>2</v>
      </c>
      <c r="AL796" t="s">
        <v>86</v>
      </c>
      <c r="AM796" t="s">
        <v>87</v>
      </c>
      <c r="AN796" t="s">
        <v>88</v>
      </c>
      <c r="AO796" t="s">
        <v>1106</v>
      </c>
      <c r="AP796" t="s">
        <v>74</v>
      </c>
      <c r="AQ796" t="s">
        <v>74</v>
      </c>
      <c r="AR796" t="s">
        <v>1107</v>
      </c>
      <c r="AS796" t="s">
        <v>1108</v>
      </c>
      <c r="AT796" t="s">
        <v>9735</v>
      </c>
      <c r="AU796">
        <v>1999</v>
      </c>
      <c r="AV796">
        <v>29</v>
      </c>
      <c r="AW796">
        <v>3</v>
      </c>
      <c r="AX796" t="s">
        <v>74</v>
      </c>
      <c r="AY796" t="s">
        <v>74</v>
      </c>
      <c r="AZ796" t="s">
        <v>74</v>
      </c>
      <c r="BA796" t="s">
        <v>74</v>
      </c>
      <c r="BB796">
        <v>366</v>
      </c>
      <c r="BC796">
        <v>381</v>
      </c>
      <c r="BD796" t="s">
        <v>74</v>
      </c>
      <c r="BE796" t="s">
        <v>10310</v>
      </c>
      <c r="BF796" t="str">
        <f>HYPERLINK("http://dx.doi.org/10.1175/1520-0485(1999)029&lt;0366:STVITU&gt;2.0.CO;2","http://dx.doi.org/10.1175/1520-0485(1999)029&lt;0366:STVITU&gt;2.0.CO;2")</f>
        <v>http://dx.doi.org/10.1175/1520-0485(1999)029&lt;0366:STVITU&gt;2.0.CO;2</v>
      </c>
      <c r="BG796" t="s">
        <v>74</v>
      </c>
      <c r="BH796" t="s">
        <v>74</v>
      </c>
      <c r="BI796">
        <v>16</v>
      </c>
      <c r="BJ796" t="s">
        <v>416</v>
      </c>
      <c r="BK796" t="s">
        <v>96</v>
      </c>
      <c r="BL796" t="s">
        <v>416</v>
      </c>
      <c r="BM796" t="s">
        <v>10299</v>
      </c>
      <c r="BN796" t="s">
        <v>74</v>
      </c>
      <c r="BO796" t="s">
        <v>98</v>
      </c>
      <c r="BP796" t="s">
        <v>74</v>
      </c>
      <c r="BQ796" t="s">
        <v>74</v>
      </c>
      <c r="BR796" t="s">
        <v>99</v>
      </c>
      <c r="BS796" t="s">
        <v>10311</v>
      </c>
      <c r="BT796" t="str">
        <f>HYPERLINK("https%3A%2F%2Fwww.webofscience.com%2Fwos%2Fwoscc%2Ffull-record%2FWOS:000079228200004","View Full Record in Web of Science")</f>
        <v>View Full Record in Web of Science</v>
      </c>
    </row>
    <row r="797" spans="1:72" x14ac:dyDescent="0.15">
      <c r="A797" t="s">
        <v>72</v>
      </c>
      <c r="B797" t="s">
        <v>10312</v>
      </c>
      <c r="C797" t="s">
        <v>74</v>
      </c>
      <c r="D797" t="s">
        <v>74</v>
      </c>
      <c r="E797" t="s">
        <v>74</v>
      </c>
      <c r="F797" t="s">
        <v>10312</v>
      </c>
      <c r="G797" t="s">
        <v>74</v>
      </c>
      <c r="H797" t="s">
        <v>74</v>
      </c>
      <c r="I797" t="s">
        <v>10313</v>
      </c>
      <c r="J797" t="s">
        <v>1100</v>
      </c>
      <c r="K797" t="s">
        <v>74</v>
      </c>
      <c r="L797" t="s">
        <v>74</v>
      </c>
      <c r="M797" t="s">
        <v>77</v>
      </c>
      <c r="N797" t="s">
        <v>78</v>
      </c>
      <c r="O797" t="s">
        <v>74</v>
      </c>
      <c r="P797" t="s">
        <v>74</v>
      </c>
      <c r="Q797" t="s">
        <v>74</v>
      </c>
      <c r="R797" t="s">
        <v>74</v>
      </c>
      <c r="S797" t="s">
        <v>74</v>
      </c>
      <c r="T797" t="s">
        <v>74</v>
      </c>
      <c r="U797" t="s">
        <v>10314</v>
      </c>
      <c r="V797" t="s">
        <v>10315</v>
      </c>
      <c r="W797" t="s">
        <v>10316</v>
      </c>
      <c r="X797" t="s">
        <v>10317</v>
      </c>
      <c r="Y797" t="s">
        <v>10318</v>
      </c>
      <c r="Z797" t="s">
        <v>74</v>
      </c>
      <c r="AA797" t="s">
        <v>74</v>
      </c>
      <c r="AB797" t="s">
        <v>74</v>
      </c>
      <c r="AC797" t="s">
        <v>74</v>
      </c>
      <c r="AD797" t="s">
        <v>74</v>
      </c>
      <c r="AE797" t="s">
        <v>74</v>
      </c>
      <c r="AF797" t="s">
        <v>74</v>
      </c>
      <c r="AG797">
        <v>78</v>
      </c>
      <c r="AH797">
        <v>46</v>
      </c>
      <c r="AI797">
        <v>48</v>
      </c>
      <c r="AJ797">
        <v>0</v>
      </c>
      <c r="AK797">
        <v>3</v>
      </c>
      <c r="AL797" t="s">
        <v>86</v>
      </c>
      <c r="AM797" t="s">
        <v>87</v>
      </c>
      <c r="AN797" t="s">
        <v>88</v>
      </c>
      <c r="AO797" t="s">
        <v>1106</v>
      </c>
      <c r="AP797" t="s">
        <v>74</v>
      </c>
      <c r="AQ797" t="s">
        <v>74</v>
      </c>
      <c r="AR797" t="s">
        <v>1107</v>
      </c>
      <c r="AS797" t="s">
        <v>1108</v>
      </c>
      <c r="AT797" t="s">
        <v>9735</v>
      </c>
      <c r="AU797">
        <v>1999</v>
      </c>
      <c r="AV797">
        <v>29</v>
      </c>
      <c r="AW797">
        <v>3</v>
      </c>
      <c r="AX797" t="s">
        <v>74</v>
      </c>
      <c r="AY797" t="s">
        <v>74</v>
      </c>
      <c r="AZ797" t="s">
        <v>74</v>
      </c>
      <c r="BA797" t="s">
        <v>74</v>
      </c>
      <c r="BB797">
        <v>382</v>
      </c>
      <c r="BC797">
        <v>399</v>
      </c>
      <c r="BD797" t="s">
        <v>74</v>
      </c>
      <c r="BE797" t="s">
        <v>10319</v>
      </c>
      <c r="BF797" t="str">
        <f>HYPERLINK("http://dx.doi.org/10.1175/1520-0485(1999)029&lt;0382:BODHTF&gt;2.0.CO;2","http://dx.doi.org/10.1175/1520-0485(1999)029&lt;0382:BODHTF&gt;2.0.CO;2")</f>
        <v>http://dx.doi.org/10.1175/1520-0485(1999)029&lt;0382:BODHTF&gt;2.0.CO;2</v>
      </c>
      <c r="BG797" t="s">
        <v>74</v>
      </c>
      <c r="BH797" t="s">
        <v>74</v>
      </c>
      <c r="BI797">
        <v>18</v>
      </c>
      <c r="BJ797" t="s">
        <v>416</v>
      </c>
      <c r="BK797" t="s">
        <v>96</v>
      </c>
      <c r="BL797" t="s">
        <v>416</v>
      </c>
      <c r="BM797" t="s">
        <v>10299</v>
      </c>
      <c r="BN797" t="s">
        <v>74</v>
      </c>
      <c r="BO797" t="s">
        <v>1505</v>
      </c>
      <c r="BP797" t="s">
        <v>74</v>
      </c>
      <c r="BQ797" t="s">
        <v>74</v>
      </c>
      <c r="BR797" t="s">
        <v>99</v>
      </c>
      <c r="BS797" t="s">
        <v>10320</v>
      </c>
      <c r="BT797" t="str">
        <f>HYPERLINK("https%3A%2F%2Fwww.webofscience.com%2Fwos%2Fwoscc%2Ffull-record%2FWOS:000079228200005","View Full Record in Web of Science")</f>
        <v>View Full Record in Web of Science</v>
      </c>
    </row>
    <row r="798" spans="1:72" x14ac:dyDescent="0.15">
      <c r="A798" t="s">
        <v>72</v>
      </c>
      <c r="B798" t="s">
        <v>10321</v>
      </c>
      <c r="C798" t="s">
        <v>74</v>
      </c>
      <c r="D798" t="s">
        <v>74</v>
      </c>
      <c r="E798" t="s">
        <v>74</v>
      </c>
      <c r="F798" t="s">
        <v>10321</v>
      </c>
      <c r="G798" t="s">
        <v>74</v>
      </c>
      <c r="H798" t="s">
        <v>74</v>
      </c>
      <c r="I798" t="s">
        <v>10322</v>
      </c>
      <c r="J798" t="s">
        <v>1123</v>
      </c>
      <c r="K798" t="s">
        <v>74</v>
      </c>
      <c r="L798" t="s">
        <v>74</v>
      </c>
      <c r="M798" t="s">
        <v>77</v>
      </c>
      <c r="N798" t="s">
        <v>78</v>
      </c>
      <c r="O798" t="s">
        <v>74</v>
      </c>
      <c r="P798" t="s">
        <v>74</v>
      </c>
      <c r="Q798" t="s">
        <v>74</v>
      </c>
      <c r="R798" t="s">
        <v>74</v>
      </c>
      <c r="S798" t="s">
        <v>74</v>
      </c>
      <c r="T798" t="s">
        <v>74</v>
      </c>
      <c r="U798" t="s">
        <v>10323</v>
      </c>
      <c r="V798" t="s">
        <v>10324</v>
      </c>
      <c r="W798" t="s">
        <v>10325</v>
      </c>
      <c r="X798" t="s">
        <v>10326</v>
      </c>
      <c r="Y798" t="s">
        <v>10327</v>
      </c>
      <c r="Z798" t="s">
        <v>74</v>
      </c>
      <c r="AA798" t="s">
        <v>10328</v>
      </c>
      <c r="AB798" t="s">
        <v>10329</v>
      </c>
      <c r="AC798" t="s">
        <v>74</v>
      </c>
      <c r="AD798" t="s">
        <v>74</v>
      </c>
      <c r="AE798" t="s">
        <v>74</v>
      </c>
      <c r="AF798" t="s">
        <v>74</v>
      </c>
      <c r="AG798">
        <v>76</v>
      </c>
      <c r="AH798">
        <v>103</v>
      </c>
      <c r="AI798">
        <v>107</v>
      </c>
      <c r="AJ798">
        <v>0</v>
      </c>
      <c r="AK798">
        <v>23</v>
      </c>
      <c r="AL798" t="s">
        <v>1090</v>
      </c>
      <c r="AM798" t="s">
        <v>276</v>
      </c>
      <c r="AN798" t="s">
        <v>1091</v>
      </c>
      <c r="AO798" t="s">
        <v>1131</v>
      </c>
      <c r="AP798" t="s">
        <v>74</v>
      </c>
      <c r="AQ798" t="s">
        <v>74</v>
      </c>
      <c r="AR798" t="s">
        <v>1133</v>
      </c>
      <c r="AS798" t="s">
        <v>1134</v>
      </c>
      <c r="AT798" t="s">
        <v>9735</v>
      </c>
      <c r="AU798">
        <v>1999</v>
      </c>
      <c r="AV798">
        <v>21</v>
      </c>
      <c r="AW798">
        <v>3</v>
      </c>
      <c r="AX798" t="s">
        <v>74</v>
      </c>
      <c r="AY798" t="s">
        <v>74</v>
      </c>
      <c r="AZ798" t="s">
        <v>74</v>
      </c>
      <c r="BA798" t="s">
        <v>74</v>
      </c>
      <c r="BB798">
        <v>405</v>
      </c>
      <c r="BC798">
        <v>428</v>
      </c>
      <c r="BD798" t="s">
        <v>74</v>
      </c>
      <c r="BE798" t="s">
        <v>10330</v>
      </c>
      <c r="BF798" t="str">
        <f>HYPERLINK("http://dx.doi.org/10.1093/plankt/21.3.405","http://dx.doi.org/10.1093/plankt/21.3.405")</f>
        <v>http://dx.doi.org/10.1093/plankt/21.3.405</v>
      </c>
      <c r="BG798" t="s">
        <v>74</v>
      </c>
      <c r="BH798" t="s">
        <v>74</v>
      </c>
      <c r="BI798">
        <v>24</v>
      </c>
      <c r="BJ798" t="s">
        <v>1136</v>
      </c>
      <c r="BK798" t="s">
        <v>96</v>
      </c>
      <c r="BL798" t="s">
        <v>1136</v>
      </c>
      <c r="BM798" t="s">
        <v>10331</v>
      </c>
      <c r="BN798" t="s">
        <v>74</v>
      </c>
      <c r="BO798" t="s">
        <v>250</v>
      </c>
      <c r="BP798" t="s">
        <v>74</v>
      </c>
      <c r="BQ798" t="s">
        <v>74</v>
      </c>
      <c r="BR798" t="s">
        <v>99</v>
      </c>
      <c r="BS798" t="s">
        <v>10332</v>
      </c>
      <c r="BT798" t="str">
        <f>HYPERLINK("https%3A%2F%2Fwww.webofscience.com%2Fwos%2Fwoscc%2Ffull-record%2FWOS:000079208900001","View Full Record in Web of Science")</f>
        <v>View Full Record in Web of Science</v>
      </c>
    </row>
    <row r="799" spans="1:72" x14ac:dyDescent="0.15">
      <c r="A799" t="s">
        <v>72</v>
      </c>
      <c r="B799" t="s">
        <v>10333</v>
      </c>
      <c r="C799" t="s">
        <v>74</v>
      </c>
      <c r="D799" t="s">
        <v>74</v>
      </c>
      <c r="E799" t="s">
        <v>74</v>
      </c>
      <c r="F799" t="s">
        <v>10333</v>
      </c>
      <c r="G799" t="s">
        <v>74</v>
      </c>
      <c r="H799" t="s">
        <v>74</v>
      </c>
      <c r="I799" t="s">
        <v>10334</v>
      </c>
      <c r="J799" t="s">
        <v>10335</v>
      </c>
      <c r="K799" t="s">
        <v>74</v>
      </c>
      <c r="L799" t="s">
        <v>74</v>
      </c>
      <c r="M799" t="s">
        <v>77</v>
      </c>
      <c r="N799" t="s">
        <v>78</v>
      </c>
      <c r="O799" t="s">
        <v>74</v>
      </c>
      <c r="P799" t="s">
        <v>74</v>
      </c>
      <c r="Q799" t="s">
        <v>74</v>
      </c>
      <c r="R799" t="s">
        <v>74</v>
      </c>
      <c r="S799" t="s">
        <v>74</v>
      </c>
      <c r="T799" t="s">
        <v>10336</v>
      </c>
      <c r="U799" t="s">
        <v>10337</v>
      </c>
      <c r="V799" t="s">
        <v>10338</v>
      </c>
      <c r="W799" t="s">
        <v>10339</v>
      </c>
      <c r="X799" t="s">
        <v>2323</v>
      </c>
      <c r="Y799" t="s">
        <v>10340</v>
      </c>
      <c r="Z799" t="s">
        <v>10341</v>
      </c>
      <c r="AA799" t="s">
        <v>74</v>
      </c>
      <c r="AB799" t="s">
        <v>74</v>
      </c>
      <c r="AC799" t="s">
        <v>74</v>
      </c>
      <c r="AD799" t="s">
        <v>74</v>
      </c>
      <c r="AE799" t="s">
        <v>74</v>
      </c>
      <c r="AF799" t="s">
        <v>74</v>
      </c>
      <c r="AG799">
        <v>56</v>
      </c>
      <c r="AH799">
        <v>55</v>
      </c>
      <c r="AI799">
        <v>64</v>
      </c>
      <c r="AJ799">
        <v>0</v>
      </c>
      <c r="AK799">
        <v>15</v>
      </c>
      <c r="AL799" t="s">
        <v>210</v>
      </c>
      <c r="AM799" t="s">
        <v>211</v>
      </c>
      <c r="AN799" t="s">
        <v>212</v>
      </c>
      <c r="AO799" t="s">
        <v>10342</v>
      </c>
      <c r="AP799" t="s">
        <v>74</v>
      </c>
      <c r="AQ799" t="s">
        <v>74</v>
      </c>
      <c r="AR799" t="s">
        <v>10343</v>
      </c>
      <c r="AS799" t="s">
        <v>10344</v>
      </c>
      <c r="AT799" t="s">
        <v>9735</v>
      </c>
      <c r="AU799">
        <v>1999</v>
      </c>
      <c r="AV799">
        <v>41</v>
      </c>
      <c r="AW799" t="s">
        <v>1614</v>
      </c>
      <c r="AX799" t="s">
        <v>74</v>
      </c>
      <c r="AY799" t="s">
        <v>74</v>
      </c>
      <c r="AZ799" t="s">
        <v>74</v>
      </c>
      <c r="BA799" t="s">
        <v>74</v>
      </c>
      <c r="BB799">
        <v>149</v>
      </c>
      <c r="BC799">
        <v>161</v>
      </c>
      <c r="BD799" t="s">
        <v>74</v>
      </c>
      <c r="BE799" t="s">
        <v>10345</v>
      </c>
      <c r="BF799" t="str">
        <f>HYPERLINK("http://dx.doi.org/10.1016/S1385-1101(98)00042-2","http://dx.doi.org/10.1016/S1385-1101(98)00042-2")</f>
        <v>http://dx.doi.org/10.1016/S1385-1101(98)00042-2</v>
      </c>
      <c r="BG799" t="s">
        <v>74</v>
      </c>
      <c r="BH799" t="s">
        <v>74</v>
      </c>
      <c r="BI799">
        <v>13</v>
      </c>
      <c r="BJ799" t="s">
        <v>1136</v>
      </c>
      <c r="BK799" t="s">
        <v>96</v>
      </c>
      <c r="BL799" t="s">
        <v>1136</v>
      </c>
      <c r="BM799" t="s">
        <v>10346</v>
      </c>
      <c r="BN799" t="s">
        <v>74</v>
      </c>
      <c r="BO799" t="s">
        <v>74</v>
      </c>
      <c r="BP799" t="s">
        <v>74</v>
      </c>
      <c r="BQ799" t="s">
        <v>74</v>
      </c>
      <c r="BR799" t="s">
        <v>99</v>
      </c>
      <c r="BS799" t="s">
        <v>10347</v>
      </c>
      <c r="BT799" t="str">
        <f>HYPERLINK("https%3A%2F%2Fwww.webofscience.com%2Fwos%2Fwoscc%2Ffull-record%2FWOS:000079367500013","View Full Record in Web of Science")</f>
        <v>View Full Record in Web of Science</v>
      </c>
    </row>
    <row r="800" spans="1:72" x14ac:dyDescent="0.15">
      <c r="A800" t="s">
        <v>72</v>
      </c>
      <c r="B800" t="s">
        <v>10348</v>
      </c>
      <c r="C800" t="s">
        <v>74</v>
      </c>
      <c r="D800" t="s">
        <v>74</v>
      </c>
      <c r="E800" t="s">
        <v>74</v>
      </c>
      <c r="F800" t="s">
        <v>10348</v>
      </c>
      <c r="G800" t="s">
        <v>74</v>
      </c>
      <c r="H800" t="s">
        <v>74</v>
      </c>
      <c r="I800" t="s">
        <v>10349</v>
      </c>
      <c r="J800" t="s">
        <v>9234</v>
      </c>
      <c r="K800" t="s">
        <v>74</v>
      </c>
      <c r="L800" t="s">
        <v>74</v>
      </c>
      <c r="M800" t="s">
        <v>77</v>
      </c>
      <c r="N800" t="s">
        <v>78</v>
      </c>
      <c r="O800" t="s">
        <v>74</v>
      </c>
      <c r="P800" t="s">
        <v>74</v>
      </c>
      <c r="Q800" t="s">
        <v>74</v>
      </c>
      <c r="R800" t="s">
        <v>74</v>
      </c>
      <c r="S800" t="s">
        <v>74</v>
      </c>
      <c r="T800" t="s">
        <v>74</v>
      </c>
      <c r="U800" t="s">
        <v>10350</v>
      </c>
      <c r="V800" t="s">
        <v>10351</v>
      </c>
      <c r="W800" t="s">
        <v>10352</v>
      </c>
      <c r="X800" t="s">
        <v>10353</v>
      </c>
      <c r="Y800" t="s">
        <v>10354</v>
      </c>
      <c r="Z800" t="s">
        <v>10355</v>
      </c>
      <c r="AA800" t="s">
        <v>10356</v>
      </c>
      <c r="AB800" t="s">
        <v>10357</v>
      </c>
      <c r="AC800" t="s">
        <v>74</v>
      </c>
      <c r="AD800" t="s">
        <v>74</v>
      </c>
      <c r="AE800" t="s">
        <v>74</v>
      </c>
      <c r="AF800" t="s">
        <v>74</v>
      </c>
      <c r="AG800">
        <v>39</v>
      </c>
      <c r="AH800">
        <v>37</v>
      </c>
      <c r="AI800">
        <v>41</v>
      </c>
      <c r="AJ800">
        <v>0</v>
      </c>
      <c r="AK800">
        <v>9</v>
      </c>
      <c r="AL800" t="s">
        <v>997</v>
      </c>
      <c r="AM800" t="s">
        <v>998</v>
      </c>
      <c r="AN800" t="s">
        <v>999</v>
      </c>
      <c r="AO800" t="s">
        <v>9243</v>
      </c>
      <c r="AP800" t="s">
        <v>10358</v>
      </c>
      <c r="AQ800" t="s">
        <v>74</v>
      </c>
      <c r="AR800" t="s">
        <v>9234</v>
      </c>
      <c r="AS800" t="s">
        <v>9244</v>
      </c>
      <c r="AT800" t="s">
        <v>9735</v>
      </c>
      <c r="AU800">
        <v>1999</v>
      </c>
      <c r="AV800">
        <v>34</v>
      </c>
      <c r="AW800">
        <v>3</v>
      </c>
      <c r="AX800" t="s">
        <v>74</v>
      </c>
      <c r="AY800" t="s">
        <v>74</v>
      </c>
      <c r="AZ800" t="s">
        <v>74</v>
      </c>
      <c r="BA800" t="s">
        <v>74</v>
      </c>
      <c r="BB800">
        <v>283</v>
      </c>
      <c r="BC800">
        <v>290</v>
      </c>
      <c r="BD800" t="s">
        <v>74</v>
      </c>
      <c r="BE800" t="s">
        <v>10359</v>
      </c>
      <c r="BF800" t="str">
        <f>HYPERLINK("http://dx.doi.org/10.1007/s11745-999-0365-9","http://dx.doi.org/10.1007/s11745-999-0365-9")</f>
        <v>http://dx.doi.org/10.1007/s11745-999-0365-9</v>
      </c>
      <c r="BG800" t="s">
        <v>74</v>
      </c>
      <c r="BH800" t="s">
        <v>74</v>
      </c>
      <c r="BI800">
        <v>8</v>
      </c>
      <c r="BJ800" t="s">
        <v>9246</v>
      </c>
      <c r="BK800" t="s">
        <v>96</v>
      </c>
      <c r="BL800" t="s">
        <v>9246</v>
      </c>
      <c r="BM800" t="s">
        <v>10360</v>
      </c>
      <c r="BN800">
        <v>10230723</v>
      </c>
      <c r="BO800" t="s">
        <v>74</v>
      </c>
      <c r="BP800" t="s">
        <v>74</v>
      </c>
      <c r="BQ800" t="s">
        <v>74</v>
      </c>
      <c r="BR800" t="s">
        <v>99</v>
      </c>
      <c r="BS800" t="s">
        <v>10361</v>
      </c>
      <c r="BT800" t="str">
        <f>HYPERLINK("https%3A%2F%2Fwww.webofscience.com%2Fwos%2Fwoscc%2Ffull-record%2FWOS:000079541200009","View Full Record in Web of Science")</f>
        <v>View Full Record in Web of Science</v>
      </c>
    </row>
    <row r="801" spans="1:72" x14ac:dyDescent="0.15">
      <c r="A801" t="s">
        <v>72</v>
      </c>
      <c r="B801" t="s">
        <v>10362</v>
      </c>
      <c r="C801" t="s">
        <v>74</v>
      </c>
      <c r="D801" t="s">
        <v>74</v>
      </c>
      <c r="E801" t="s">
        <v>74</v>
      </c>
      <c r="F801" t="s">
        <v>10362</v>
      </c>
      <c r="G801" t="s">
        <v>74</v>
      </c>
      <c r="H801" t="s">
        <v>74</v>
      </c>
      <c r="I801" t="s">
        <v>10363</v>
      </c>
      <c r="J801" t="s">
        <v>1218</v>
      </c>
      <c r="K801" t="s">
        <v>74</v>
      </c>
      <c r="L801" t="s">
        <v>74</v>
      </c>
      <c r="M801" t="s">
        <v>77</v>
      </c>
      <c r="N801" t="s">
        <v>78</v>
      </c>
      <c r="O801" t="s">
        <v>74</v>
      </c>
      <c r="P801" t="s">
        <v>74</v>
      </c>
      <c r="Q801" t="s">
        <v>74</v>
      </c>
      <c r="R801" t="s">
        <v>74</v>
      </c>
      <c r="S801" t="s">
        <v>74</v>
      </c>
      <c r="T801" t="s">
        <v>74</v>
      </c>
      <c r="U801" t="s">
        <v>10364</v>
      </c>
      <c r="V801" t="s">
        <v>10365</v>
      </c>
      <c r="W801" t="s">
        <v>10366</v>
      </c>
      <c r="X801" t="s">
        <v>10367</v>
      </c>
      <c r="Y801" t="s">
        <v>10368</v>
      </c>
      <c r="Z801" t="s">
        <v>74</v>
      </c>
      <c r="AA801" t="s">
        <v>74</v>
      </c>
      <c r="AB801" t="s">
        <v>74</v>
      </c>
      <c r="AC801" t="s">
        <v>74</v>
      </c>
      <c r="AD801" t="s">
        <v>74</v>
      </c>
      <c r="AE801" t="s">
        <v>74</v>
      </c>
      <c r="AF801" t="s">
        <v>74</v>
      </c>
      <c r="AG801">
        <v>31</v>
      </c>
      <c r="AH801">
        <v>66</v>
      </c>
      <c r="AI801">
        <v>75</v>
      </c>
      <c r="AJ801">
        <v>0</v>
      </c>
      <c r="AK801">
        <v>5</v>
      </c>
      <c r="AL801" t="s">
        <v>553</v>
      </c>
      <c r="AM801" t="s">
        <v>554</v>
      </c>
      <c r="AN801" t="s">
        <v>555</v>
      </c>
      <c r="AO801" t="s">
        <v>1225</v>
      </c>
      <c r="AP801" t="s">
        <v>74</v>
      </c>
      <c r="AQ801" t="s">
        <v>74</v>
      </c>
      <c r="AR801" t="s">
        <v>1226</v>
      </c>
      <c r="AS801" t="s">
        <v>1227</v>
      </c>
      <c r="AT801" t="s">
        <v>9735</v>
      </c>
      <c r="AU801">
        <v>1999</v>
      </c>
      <c r="AV801">
        <v>133</v>
      </c>
      <c r="AW801">
        <v>2</v>
      </c>
      <c r="AX801" t="s">
        <v>74</v>
      </c>
      <c r="AY801" t="s">
        <v>74</v>
      </c>
      <c r="AZ801" t="s">
        <v>74</v>
      </c>
      <c r="BA801" t="s">
        <v>74</v>
      </c>
      <c r="BB801">
        <v>267</v>
      </c>
      <c r="BC801">
        <v>281</v>
      </c>
      <c r="BD801" t="s">
        <v>74</v>
      </c>
      <c r="BE801" t="s">
        <v>10369</v>
      </c>
      <c r="BF801" t="str">
        <f>HYPERLINK("http://dx.doi.org/10.1007/s002270050466","http://dx.doi.org/10.1007/s002270050466")</f>
        <v>http://dx.doi.org/10.1007/s002270050466</v>
      </c>
      <c r="BG801" t="s">
        <v>74</v>
      </c>
      <c r="BH801" t="s">
        <v>74</v>
      </c>
      <c r="BI801">
        <v>15</v>
      </c>
      <c r="BJ801" t="s">
        <v>1229</v>
      </c>
      <c r="BK801" t="s">
        <v>96</v>
      </c>
      <c r="BL801" t="s">
        <v>1229</v>
      </c>
      <c r="BM801" t="s">
        <v>10370</v>
      </c>
      <c r="BN801" t="s">
        <v>74</v>
      </c>
      <c r="BO801" t="s">
        <v>74</v>
      </c>
      <c r="BP801" t="s">
        <v>74</v>
      </c>
      <c r="BQ801" t="s">
        <v>74</v>
      </c>
      <c r="BR801" t="s">
        <v>99</v>
      </c>
      <c r="BS801" t="s">
        <v>10371</v>
      </c>
      <c r="BT801" t="str">
        <f>HYPERLINK("https%3A%2F%2Fwww.webofscience.com%2Fwos%2Fwoscc%2Ffull-record%2FWOS:000079269700011","View Full Record in Web of Science")</f>
        <v>View Full Record in Web of Science</v>
      </c>
    </row>
    <row r="802" spans="1:72" x14ac:dyDescent="0.15">
      <c r="A802" t="s">
        <v>72</v>
      </c>
      <c r="B802" t="s">
        <v>10372</v>
      </c>
      <c r="C802" t="s">
        <v>74</v>
      </c>
      <c r="D802" t="s">
        <v>74</v>
      </c>
      <c r="E802" t="s">
        <v>74</v>
      </c>
      <c r="F802" t="s">
        <v>10372</v>
      </c>
      <c r="G802" t="s">
        <v>74</v>
      </c>
      <c r="H802" t="s">
        <v>74</v>
      </c>
      <c r="I802" t="s">
        <v>10373</v>
      </c>
      <c r="J802" t="s">
        <v>1218</v>
      </c>
      <c r="K802" t="s">
        <v>74</v>
      </c>
      <c r="L802" t="s">
        <v>74</v>
      </c>
      <c r="M802" t="s">
        <v>77</v>
      </c>
      <c r="N802" t="s">
        <v>78</v>
      </c>
      <c r="O802" t="s">
        <v>74</v>
      </c>
      <c r="P802" t="s">
        <v>74</v>
      </c>
      <c r="Q802" t="s">
        <v>74</v>
      </c>
      <c r="R802" t="s">
        <v>74</v>
      </c>
      <c r="S802" t="s">
        <v>74</v>
      </c>
      <c r="T802" t="s">
        <v>74</v>
      </c>
      <c r="U802" t="s">
        <v>10374</v>
      </c>
      <c r="V802" t="s">
        <v>10375</v>
      </c>
      <c r="W802" t="s">
        <v>6270</v>
      </c>
      <c r="X802" t="s">
        <v>4692</v>
      </c>
      <c r="Y802" t="s">
        <v>10376</v>
      </c>
      <c r="Z802" t="s">
        <v>10377</v>
      </c>
      <c r="AA802" t="s">
        <v>74</v>
      </c>
      <c r="AB802" t="s">
        <v>74</v>
      </c>
      <c r="AC802" t="s">
        <v>74</v>
      </c>
      <c r="AD802" t="s">
        <v>74</v>
      </c>
      <c r="AE802" t="s">
        <v>74</v>
      </c>
      <c r="AF802" t="s">
        <v>74</v>
      </c>
      <c r="AG802">
        <v>67</v>
      </c>
      <c r="AH802">
        <v>10</v>
      </c>
      <c r="AI802">
        <v>10</v>
      </c>
      <c r="AJ802">
        <v>0</v>
      </c>
      <c r="AK802">
        <v>2</v>
      </c>
      <c r="AL802" t="s">
        <v>3679</v>
      </c>
      <c r="AM802" t="s">
        <v>3680</v>
      </c>
      <c r="AN802" t="s">
        <v>3681</v>
      </c>
      <c r="AO802" t="s">
        <v>1225</v>
      </c>
      <c r="AP802" t="s">
        <v>3682</v>
      </c>
      <c r="AQ802" t="s">
        <v>74</v>
      </c>
      <c r="AR802" t="s">
        <v>1226</v>
      </c>
      <c r="AS802" t="s">
        <v>1227</v>
      </c>
      <c r="AT802" t="s">
        <v>9735</v>
      </c>
      <c r="AU802">
        <v>1999</v>
      </c>
      <c r="AV802">
        <v>133</v>
      </c>
      <c r="AW802">
        <v>2</v>
      </c>
      <c r="AX802" t="s">
        <v>74</v>
      </c>
      <c r="AY802" t="s">
        <v>74</v>
      </c>
      <c r="AZ802" t="s">
        <v>74</v>
      </c>
      <c r="BA802" t="s">
        <v>74</v>
      </c>
      <c r="BB802">
        <v>283</v>
      </c>
      <c r="BC802">
        <v>291</v>
      </c>
      <c r="BD802" t="s">
        <v>74</v>
      </c>
      <c r="BE802" t="s">
        <v>10378</v>
      </c>
      <c r="BF802" t="str">
        <f>HYPERLINK("http://dx.doi.org/10.1007/s002270050467","http://dx.doi.org/10.1007/s002270050467")</f>
        <v>http://dx.doi.org/10.1007/s002270050467</v>
      </c>
      <c r="BG802" t="s">
        <v>74</v>
      </c>
      <c r="BH802" t="s">
        <v>74</v>
      </c>
      <c r="BI802">
        <v>9</v>
      </c>
      <c r="BJ802" t="s">
        <v>1229</v>
      </c>
      <c r="BK802" t="s">
        <v>96</v>
      </c>
      <c r="BL802" t="s">
        <v>1229</v>
      </c>
      <c r="BM802" t="s">
        <v>10370</v>
      </c>
      <c r="BN802" t="s">
        <v>74</v>
      </c>
      <c r="BO802" t="s">
        <v>74</v>
      </c>
      <c r="BP802" t="s">
        <v>74</v>
      </c>
      <c r="BQ802" t="s">
        <v>74</v>
      </c>
      <c r="BR802" t="s">
        <v>99</v>
      </c>
      <c r="BS802" t="s">
        <v>10379</v>
      </c>
      <c r="BT802" t="str">
        <f>HYPERLINK("https%3A%2F%2Fwww.webofscience.com%2Fwos%2Fwoscc%2Ffull-record%2FWOS:000079269700012","View Full Record in Web of Science")</f>
        <v>View Full Record in Web of Science</v>
      </c>
    </row>
    <row r="803" spans="1:72" x14ac:dyDescent="0.15">
      <c r="A803" t="s">
        <v>72</v>
      </c>
      <c r="B803" t="s">
        <v>10380</v>
      </c>
      <c r="C803" t="s">
        <v>74</v>
      </c>
      <c r="D803" t="s">
        <v>74</v>
      </c>
      <c r="E803" t="s">
        <v>74</v>
      </c>
      <c r="F803" t="s">
        <v>10380</v>
      </c>
      <c r="G803" t="s">
        <v>74</v>
      </c>
      <c r="H803" t="s">
        <v>74</v>
      </c>
      <c r="I803" t="s">
        <v>10381</v>
      </c>
      <c r="J803" t="s">
        <v>5860</v>
      </c>
      <c r="K803" t="s">
        <v>74</v>
      </c>
      <c r="L803" t="s">
        <v>74</v>
      </c>
      <c r="M803" t="s">
        <v>77</v>
      </c>
      <c r="N803" t="s">
        <v>78</v>
      </c>
      <c r="O803" t="s">
        <v>74</v>
      </c>
      <c r="P803" t="s">
        <v>74</v>
      </c>
      <c r="Q803" t="s">
        <v>74</v>
      </c>
      <c r="R803" t="s">
        <v>74</v>
      </c>
      <c r="S803" t="s">
        <v>74</v>
      </c>
      <c r="T803" t="s">
        <v>74</v>
      </c>
      <c r="U803" t="s">
        <v>10382</v>
      </c>
      <c r="V803" t="s">
        <v>10383</v>
      </c>
      <c r="W803" t="s">
        <v>10384</v>
      </c>
      <c r="X803" t="s">
        <v>10385</v>
      </c>
      <c r="Y803" t="s">
        <v>10386</v>
      </c>
      <c r="Z803" t="s">
        <v>74</v>
      </c>
      <c r="AA803" t="s">
        <v>74</v>
      </c>
      <c r="AB803" t="s">
        <v>10387</v>
      </c>
      <c r="AC803" t="s">
        <v>74</v>
      </c>
      <c r="AD803" t="s">
        <v>74</v>
      </c>
      <c r="AE803" t="s">
        <v>74</v>
      </c>
      <c r="AF803" t="s">
        <v>74</v>
      </c>
      <c r="AG803">
        <v>33</v>
      </c>
      <c r="AH803">
        <v>16</v>
      </c>
      <c r="AI803">
        <v>16</v>
      </c>
      <c r="AJ803">
        <v>0</v>
      </c>
      <c r="AK803">
        <v>1</v>
      </c>
      <c r="AL803" t="s">
        <v>5862</v>
      </c>
      <c r="AM803" t="s">
        <v>5863</v>
      </c>
      <c r="AN803" t="s">
        <v>5864</v>
      </c>
      <c r="AO803" t="s">
        <v>5865</v>
      </c>
      <c r="AP803" t="s">
        <v>74</v>
      </c>
      <c r="AQ803" t="s">
        <v>74</v>
      </c>
      <c r="AR803" t="s">
        <v>5866</v>
      </c>
      <c r="AS803" t="s">
        <v>5867</v>
      </c>
      <c r="AT803" t="s">
        <v>9735</v>
      </c>
      <c r="AU803">
        <v>1999</v>
      </c>
      <c r="AV803">
        <v>34</v>
      </c>
      <c r="AW803">
        <v>2</v>
      </c>
      <c r="AX803" t="s">
        <v>74</v>
      </c>
      <c r="AY803" t="s">
        <v>74</v>
      </c>
      <c r="AZ803" t="s">
        <v>74</v>
      </c>
      <c r="BA803" t="s">
        <v>74</v>
      </c>
      <c r="BB803">
        <v>259</v>
      </c>
      <c r="BC803">
        <v>270</v>
      </c>
      <c r="BD803" t="s">
        <v>74</v>
      </c>
      <c r="BE803" t="s">
        <v>10388</v>
      </c>
      <c r="BF803" t="str">
        <f>HYPERLINK("http://dx.doi.org/10.1111/j.1945-5100.1999.tb01750.x","http://dx.doi.org/10.1111/j.1945-5100.1999.tb01750.x")</f>
        <v>http://dx.doi.org/10.1111/j.1945-5100.1999.tb01750.x</v>
      </c>
      <c r="BG803" t="s">
        <v>74</v>
      </c>
      <c r="BH803" t="s">
        <v>74</v>
      </c>
      <c r="BI803">
        <v>12</v>
      </c>
      <c r="BJ803" t="s">
        <v>216</v>
      </c>
      <c r="BK803" t="s">
        <v>96</v>
      </c>
      <c r="BL803" t="s">
        <v>216</v>
      </c>
      <c r="BM803" t="s">
        <v>10389</v>
      </c>
      <c r="BN803" t="s">
        <v>74</v>
      </c>
      <c r="BO803" t="s">
        <v>250</v>
      </c>
      <c r="BP803" t="s">
        <v>74</v>
      </c>
      <c r="BQ803" t="s">
        <v>74</v>
      </c>
      <c r="BR803" t="s">
        <v>99</v>
      </c>
      <c r="BS803" t="s">
        <v>10390</v>
      </c>
      <c r="BT803" t="str">
        <f>HYPERLINK("https%3A%2F%2Fwww.webofscience.com%2Fwos%2Fwoscc%2Ffull-record%2FWOS:000079387500009","View Full Record in Web of Science")</f>
        <v>View Full Record in Web of Science</v>
      </c>
    </row>
    <row r="804" spans="1:72" x14ac:dyDescent="0.15">
      <c r="A804" t="s">
        <v>72</v>
      </c>
      <c r="B804" t="s">
        <v>10391</v>
      </c>
      <c r="C804" t="s">
        <v>74</v>
      </c>
      <c r="D804" t="s">
        <v>74</v>
      </c>
      <c r="E804" t="s">
        <v>74</v>
      </c>
      <c r="F804" t="s">
        <v>10391</v>
      </c>
      <c r="G804" t="s">
        <v>74</v>
      </c>
      <c r="H804" t="s">
        <v>74</v>
      </c>
      <c r="I804" t="s">
        <v>10392</v>
      </c>
      <c r="J804" t="s">
        <v>10393</v>
      </c>
      <c r="K804" t="s">
        <v>74</v>
      </c>
      <c r="L804" t="s">
        <v>74</v>
      </c>
      <c r="M804" t="s">
        <v>77</v>
      </c>
      <c r="N804" t="s">
        <v>78</v>
      </c>
      <c r="O804" t="s">
        <v>74</v>
      </c>
      <c r="P804" t="s">
        <v>74</v>
      </c>
      <c r="Q804" t="s">
        <v>74</v>
      </c>
      <c r="R804" t="s">
        <v>74</v>
      </c>
      <c r="S804" t="s">
        <v>74</v>
      </c>
      <c r="T804" t="s">
        <v>74</v>
      </c>
      <c r="U804" t="s">
        <v>74</v>
      </c>
      <c r="V804" t="s">
        <v>10394</v>
      </c>
      <c r="W804" t="s">
        <v>10395</v>
      </c>
      <c r="X804" t="s">
        <v>10396</v>
      </c>
      <c r="Y804" t="s">
        <v>10397</v>
      </c>
      <c r="Z804" t="s">
        <v>74</v>
      </c>
      <c r="AA804" t="s">
        <v>74</v>
      </c>
      <c r="AB804" t="s">
        <v>74</v>
      </c>
      <c r="AC804" t="s">
        <v>74</v>
      </c>
      <c r="AD804" t="s">
        <v>74</v>
      </c>
      <c r="AE804" t="s">
        <v>74</v>
      </c>
      <c r="AF804" t="s">
        <v>74</v>
      </c>
      <c r="AG804">
        <v>27</v>
      </c>
      <c r="AH804">
        <v>15</v>
      </c>
      <c r="AI804">
        <v>19</v>
      </c>
      <c r="AJ804">
        <v>0</v>
      </c>
      <c r="AK804">
        <v>5</v>
      </c>
      <c r="AL804" t="s">
        <v>10398</v>
      </c>
      <c r="AM804" t="s">
        <v>554</v>
      </c>
      <c r="AN804" t="s">
        <v>10399</v>
      </c>
      <c r="AO804" t="s">
        <v>10400</v>
      </c>
      <c r="AP804" t="s">
        <v>74</v>
      </c>
      <c r="AQ804" t="s">
        <v>74</v>
      </c>
      <c r="AR804" t="s">
        <v>10393</v>
      </c>
      <c r="AS804" t="s">
        <v>10401</v>
      </c>
      <c r="AT804" t="s">
        <v>10402</v>
      </c>
      <c r="AU804">
        <v>1999</v>
      </c>
      <c r="AV804">
        <v>45</v>
      </c>
      <c r="AW804">
        <v>1</v>
      </c>
      <c r="AX804" t="s">
        <v>74</v>
      </c>
      <c r="AY804" t="s">
        <v>74</v>
      </c>
      <c r="AZ804" t="s">
        <v>74</v>
      </c>
      <c r="BA804" t="s">
        <v>74</v>
      </c>
      <c r="BB804">
        <v>56</v>
      </c>
      <c r="BC804">
        <v>61</v>
      </c>
      <c r="BD804" t="s">
        <v>74</v>
      </c>
      <c r="BE804" t="s">
        <v>10403</v>
      </c>
      <c r="BF804" t="str">
        <f>HYPERLINK("http://dx.doi.org/10.2307/1486202","http://dx.doi.org/10.2307/1486202")</f>
        <v>http://dx.doi.org/10.2307/1486202</v>
      </c>
      <c r="BG804" t="s">
        <v>74</v>
      </c>
      <c r="BH804" t="s">
        <v>74</v>
      </c>
      <c r="BI804">
        <v>6</v>
      </c>
      <c r="BJ804" t="s">
        <v>1270</v>
      </c>
      <c r="BK804" t="s">
        <v>96</v>
      </c>
      <c r="BL804" t="s">
        <v>1270</v>
      </c>
      <c r="BM804" t="s">
        <v>10404</v>
      </c>
      <c r="BN804" t="s">
        <v>74</v>
      </c>
      <c r="BO804" t="s">
        <v>74</v>
      </c>
      <c r="BP804" t="s">
        <v>74</v>
      </c>
      <c r="BQ804" t="s">
        <v>74</v>
      </c>
      <c r="BR804" t="s">
        <v>99</v>
      </c>
      <c r="BS804" t="s">
        <v>10405</v>
      </c>
      <c r="BT804" t="str">
        <f>HYPERLINK("https%3A%2F%2Fwww.webofscience.com%2Fwos%2Fwoscc%2Ffull-record%2FWOS:000080315800002","View Full Record in Web of Science")</f>
        <v>View Full Record in Web of Science</v>
      </c>
    </row>
    <row r="805" spans="1:72" x14ac:dyDescent="0.15">
      <c r="A805" t="s">
        <v>72</v>
      </c>
      <c r="B805" t="s">
        <v>10406</v>
      </c>
      <c r="C805" t="s">
        <v>74</v>
      </c>
      <c r="D805" t="s">
        <v>74</v>
      </c>
      <c r="E805" t="s">
        <v>74</v>
      </c>
      <c r="F805" t="s">
        <v>10406</v>
      </c>
      <c r="G805" t="s">
        <v>74</v>
      </c>
      <c r="H805" t="s">
        <v>74</v>
      </c>
      <c r="I805" t="s">
        <v>10407</v>
      </c>
      <c r="J805" t="s">
        <v>10408</v>
      </c>
      <c r="K805" t="s">
        <v>74</v>
      </c>
      <c r="L805" t="s">
        <v>74</v>
      </c>
      <c r="M805" t="s">
        <v>77</v>
      </c>
      <c r="N805" t="s">
        <v>78</v>
      </c>
      <c r="O805" t="s">
        <v>74</v>
      </c>
      <c r="P805" t="s">
        <v>74</v>
      </c>
      <c r="Q805" t="s">
        <v>74</v>
      </c>
      <c r="R805" t="s">
        <v>74</v>
      </c>
      <c r="S805" t="s">
        <v>74</v>
      </c>
      <c r="T805" t="s">
        <v>74</v>
      </c>
      <c r="U805" t="s">
        <v>10409</v>
      </c>
      <c r="V805" t="s">
        <v>10410</v>
      </c>
      <c r="W805" t="s">
        <v>10411</v>
      </c>
      <c r="X805" t="s">
        <v>10412</v>
      </c>
      <c r="Y805" t="s">
        <v>10413</v>
      </c>
      <c r="Z805" t="s">
        <v>74</v>
      </c>
      <c r="AA805" t="s">
        <v>74</v>
      </c>
      <c r="AB805" t="s">
        <v>74</v>
      </c>
      <c r="AC805" t="s">
        <v>74</v>
      </c>
      <c r="AD805" t="s">
        <v>74</v>
      </c>
      <c r="AE805" t="s">
        <v>74</v>
      </c>
      <c r="AF805" t="s">
        <v>74</v>
      </c>
      <c r="AG805">
        <v>27</v>
      </c>
      <c r="AH805">
        <v>55</v>
      </c>
      <c r="AI805">
        <v>61</v>
      </c>
      <c r="AJ805">
        <v>0</v>
      </c>
      <c r="AK805">
        <v>5</v>
      </c>
      <c r="AL805" t="s">
        <v>2057</v>
      </c>
      <c r="AM805" t="s">
        <v>554</v>
      </c>
      <c r="AN805" t="s">
        <v>2058</v>
      </c>
      <c r="AO805" t="s">
        <v>10414</v>
      </c>
      <c r="AP805" t="s">
        <v>74</v>
      </c>
      <c r="AQ805" t="s">
        <v>74</v>
      </c>
      <c r="AR805" t="s">
        <v>10415</v>
      </c>
      <c r="AS805" t="s">
        <v>10416</v>
      </c>
      <c r="AT805" t="s">
        <v>9735</v>
      </c>
      <c r="AU805">
        <v>1999</v>
      </c>
      <c r="AV805">
        <v>103</v>
      </c>
      <c r="AW805" t="s">
        <v>74</v>
      </c>
      <c r="AX805">
        <v>3</v>
      </c>
      <c r="AY805" t="s">
        <v>74</v>
      </c>
      <c r="AZ805" t="s">
        <v>74</v>
      </c>
      <c r="BA805" t="s">
        <v>74</v>
      </c>
      <c r="BB805">
        <v>286</v>
      </c>
      <c r="BC805">
        <v>288</v>
      </c>
      <c r="BD805" t="s">
        <v>74</v>
      </c>
      <c r="BE805" t="s">
        <v>10417</v>
      </c>
      <c r="BF805" t="str">
        <f>HYPERLINK("http://dx.doi.org/10.1017/S0953756298007217","http://dx.doi.org/10.1017/S0953756298007217")</f>
        <v>http://dx.doi.org/10.1017/S0953756298007217</v>
      </c>
      <c r="BG805" t="s">
        <v>74</v>
      </c>
      <c r="BH805" t="s">
        <v>74</v>
      </c>
      <c r="BI805">
        <v>3</v>
      </c>
      <c r="BJ805" t="s">
        <v>10418</v>
      </c>
      <c r="BK805" t="s">
        <v>96</v>
      </c>
      <c r="BL805" t="s">
        <v>10418</v>
      </c>
      <c r="BM805" t="s">
        <v>10419</v>
      </c>
      <c r="BN805" t="s">
        <v>74</v>
      </c>
      <c r="BO805" t="s">
        <v>74</v>
      </c>
      <c r="BP805" t="s">
        <v>74</v>
      </c>
      <c r="BQ805" t="s">
        <v>74</v>
      </c>
      <c r="BR805" t="s">
        <v>99</v>
      </c>
      <c r="BS805" t="s">
        <v>10420</v>
      </c>
      <c r="BT805" t="str">
        <f>HYPERLINK("https%3A%2F%2Fwww.webofscience.com%2Fwos%2Fwoscc%2Ffull-record%2FWOS:000079651900005","View Full Record in Web of Science")</f>
        <v>View Full Record in Web of Science</v>
      </c>
    </row>
    <row r="806" spans="1:72" x14ac:dyDescent="0.15">
      <c r="A806" t="s">
        <v>72</v>
      </c>
      <c r="B806" t="s">
        <v>10421</v>
      </c>
      <c r="C806" t="s">
        <v>74</v>
      </c>
      <c r="D806" t="s">
        <v>74</v>
      </c>
      <c r="E806" t="s">
        <v>74</v>
      </c>
      <c r="F806" t="s">
        <v>10421</v>
      </c>
      <c r="G806" t="s">
        <v>74</v>
      </c>
      <c r="H806" t="s">
        <v>74</v>
      </c>
      <c r="I806" t="s">
        <v>10422</v>
      </c>
      <c r="J806" t="s">
        <v>10423</v>
      </c>
      <c r="K806" t="s">
        <v>74</v>
      </c>
      <c r="L806" t="s">
        <v>74</v>
      </c>
      <c r="M806" t="s">
        <v>77</v>
      </c>
      <c r="N806" t="s">
        <v>78</v>
      </c>
      <c r="O806" t="s">
        <v>74</v>
      </c>
      <c r="P806" t="s">
        <v>74</v>
      </c>
      <c r="Q806" t="s">
        <v>74</v>
      </c>
      <c r="R806" t="s">
        <v>74</v>
      </c>
      <c r="S806" t="s">
        <v>74</v>
      </c>
      <c r="T806" t="s">
        <v>74</v>
      </c>
      <c r="U806" t="s">
        <v>10424</v>
      </c>
      <c r="V806" t="s">
        <v>10425</v>
      </c>
      <c r="W806" t="s">
        <v>10426</v>
      </c>
      <c r="X806" t="s">
        <v>7674</v>
      </c>
      <c r="Y806" t="s">
        <v>10427</v>
      </c>
      <c r="Z806" t="s">
        <v>74</v>
      </c>
      <c r="AA806" t="s">
        <v>74</v>
      </c>
      <c r="AB806" t="s">
        <v>10428</v>
      </c>
      <c r="AC806" t="s">
        <v>74</v>
      </c>
      <c r="AD806" t="s">
        <v>74</v>
      </c>
      <c r="AE806" t="s">
        <v>74</v>
      </c>
      <c r="AF806" t="s">
        <v>74</v>
      </c>
      <c r="AG806">
        <v>33</v>
      </c>
      <c r="AH806">
        <v>75</v>
      </c>
      <c r="AI806">
        <v>85</v>
      </c>
      <c r="AJ806">
        <v>0</v>
      </c>
      <c r="AK806">
        <v>16</v>
      </c>
      <c r="AL806" t="s">
        <v>5555</v>
      </c>
      <c r="AM806" t="s">
        <v>5269</v>
      </c>
      <c r="AN806" t="s">
        <v>5556</v>
      </c>
      <c r="AO806" t="s">
        <v>10429</v>
      </c>
      <c r="AP806" t="s">
        <v>74</v>
      </c>
      <c r="AQ806" t="s">
        <v>74</v>
      </c>
      <c r="AR806" t="s">
        <v>10430</v>
      </c>
      <c r="AS806" t="s">
        <v>10431</v>
      </c>
      <c r="AT806" t="s">
        <v>9735</v>
      </c>
      <c r="AU806">
        <v>1999</v>
      </c>
      <c r="AV806">
        <v>29</v>
      </c>
      <c r="AW806">
        <v>2</v>
      </c>
      <c r="AX806" t="s">
        <v>74</v>
      </c>
      <c r="AY806" t="s">
        <v>74</v>
      </c>
      <c r="AZ806" t="s">
        <v>74</v>
      </c>
      <c r="BA806" t="s">
        <v>74</v>
      </c>
      <c r="BB806">
        <v>187</v>
      </c>
      <c r="BC806">
        <v>201</v>
      </c>
      <c r="BD806" t="s">
        <v>74</v>
      </c>
      <c r="BE806" t="s">
        <v>10432</v>
      </c>
      <c r="BF806" t="str">
        <f>HYPERLINK("http://dx.doi.org/10.1023/A:1006547127028","http://dx.doi.org/10.1023/A:1006547127028")</f>
        <v>http://dx.doi.org/10.1023/A:1006547127028</v>
      </c>
      <c r="BG806" t="s">
        <v>74</v>
      </c>
      <c r="BH806" t="s">
        <v>74</v>
      </c>
      <c r="BI806">
        <v>15</v>
      </c>
      <c r="BJ806" t="s">
        <v>3521</v>
      </c>
      <c r="BK806" t="s">
        <v>96</v>
      </c>
      <c r="BL806" t="s">
        <v>3522</v>
      </c>
      <c r="BM806" t="s">
        <v>10433</v>
      </c>
      <c r="BN806">
        <v>10391772</v>
      </c>
      <c r="BO806" t="s">
        <v>74</v>
      </c>
      <c r="BP806" t="s">
        <v>74</v>
      </c>
      <c r="BQ806" t="s">
        <v>74</v>
      </c>
      <c r="BR806" t="s">
        <v>99</v>
      </c>
      <c r="BS806" t="s">
        <v>10434</v>
      </c>
      <c r="BT806" t="str">
        <f>HYPERLINK("https%3A%2F%2Fwww.webofscience.com%2Fwos%2Fwoscc%2Ffull-record%2FWOS:000079739500006","View Full Record in Web of Science")</f>
        <v>View Full Record in Web of Science</v>
      </c>
    </row>
    <row r="807" spans="1:72" x14ac:dyDescent="0.15">
      <c r="A807" t="s">
        <v>72</v>
      </c>
      <c r="B807" t="s">
        <v>10435</v>
      </c>
      <c r="C807" t="s">
        <v>74</v>
      </c>
      <c r="D807" t="s">
        <v>74</v>
      </c>
      <c r="E807" t="s">
        <v>74</v>
      </c>
      <c r="F807" t="s">
        <v>10435</v>
      </c>
      <c r="G807" t="s">
        <v>74</v>
      </c>
      <c r="H807" t="s">
        <v>74</v>
      </c>
      <c r="I807" t="s">
        <v>10436</v>
      </c>
      <c r="J807" t="s">
        <v>1337</v>
      </c>
      <c r="K807" t="s">
        <v>74</v>
      </c>
      <c r="L807" t="s">
        <v>74</v>
      </c>
      <c r="M807" t="s">
        <v>77</v>
      </c>
      <c r="N807" t="s">
        <v>78</v>
      </c>
      <c r="O807" t="s">
        <v>74</v>
      </c>
      <c r="P807" t="s">
        <v>74</v>
      </c>
      <c r="Q807" t="s">
        <v>74</v>
      </c>
      <c r="R807" t="s">
        <v>74</v>
      </c>
      <c r="S807" t="s">
        <v>74</v>
      </c>
      <c r="T807" t="s">
        <v>10437</v>
      </c>
      <c r="U807" t="s">
        <v>10438</v>
      </c>
      <c r="V807" t="s">
        <v>10439</v>
      </c>
      <c r="W807" t="s">
        <v>10440</v>
      </c>
      <c r="X807" t="s">
        <v>10441</v>
      </c>
      <c r="Y807" t="s">
        <v>10442</v>
      </c>
      <c r="Z807" t="s">
        <v>10443</v>
      </c>
      <c r="AA807" t="s">
        <v>10444</v>
      </c>
      <c r="AB807" t="s">
        <v>10445</v>
      </c>
      <c r="AC807" t="s">
        <v>74</v>
      </c>
      <c r="AD807" t="s">
        <v>74</v>
      </c>
      <c r="AE807" t="s">
        <v>74</v>
      </c>
      <c r="AF807" t="s">
        <v>74</v>
      </c>
      <c r="AG807">
        <v>83</v>
      </c>
      <c r="AH807">
        <v>54</v>
      </c>
      <c r="AI807">
        <v>65</v>
      </c>
      <c r="AJ807">
        <v>1</v>
      </c>
      <c r="AK807">
        <v>9</v>
      </c>
      <c r="AL807" t="s">
        <v>1263</v>
      </c>
      <c r="AM807" t="s">
        <v>211</v>
      </c>
      <c r="AN807" t="s">
        <v>1264</v>
      </c>
      <c r="AO807" t="s">
        <v>1345</v>
      </c>
      <c r="AP807" t="s">
        <v>1346</v>
      </c>
      <c r="AQ807" t="s">
        <v>74</v>
      </c>
      <c r="AR807" t="s">
        <v>1347</v>
      </c>
      <c r="AS807" t="s">
        <v>1348</v>
      </c>
      <c r="AT807" t="s">
        <v>9747</v>
      </c>
      <c r="AU807">
        <v>1999</v>
      </c>
      <c r="AV807">
        <v>147</v>
      </c>
      <c r="AW807" t="s">
        <v>1614</v>
      </c>
      <c r="AX807" t="s">
        <v>74</v>
      </c>
      <c r="AY807" t="s">
        <v>74</v>
      </c>
      <c r="AZ807" t="s">
        <v>74</v>
      </c>
      <c r="BA807" t="s">
        <v>74</v>
      </c>
      <c r="BB807">
        <v>73</v>
      </c>
      <c r="BC807">
        <v>99</v>
      </c>
      <c r="BD807" t="s">
        <v>74</v>
      </c>
      <c r="BE807" t="s">
        <v>10446</v>
      </c>
      <c r="BF807" t="str">
        <f>HYPERLINK("http://dx.doi.org/10.1016/S0031-0182(98)00153-9","http://dx.doi.org/10.1016/S0031-0182(98)00153-9")</f>
        <v>http://dx.doi.org/10.1016/S0031-0182(98)00153-9</v>
      </c>
      <c r="BG807" t="s">
        <v>74</v>
      </c>
      <c r="BH807" t="s">
        <v>74</v>
      </c>
      <c r="BI807">
        <v>27</v>
      </c>
      <c r="BJ807" t="s">
        <v>1350</v>
      </c>
      <c r="BK807" t="s">
        <v>96</v>
      </c>
      <c r="BL807" t="s">
        <v>1351</v>
      </c>
      <c r="BM807" t="s">
        <v>10447</v>
      </c>
      <c r="BN807" t="s">
        <v>74</v>
      </c>
      <c r="BO807" t="s">
        <v>74</v>
      </c>
      <c r="BP807" t="s">
        <v>74</v>
      </c>
      <c r="BQ807" t="s">
        <v>74</v>
      </c>
      <c r="BR807" t="s">
        <v>99</v>
      </c>
      <c r="BS807" t="s">
        <v>10448</v>
      </c>
      <c r="BT807" t="str">
        <f>HYPERLINK("https%3A%2F%2Fwww.webofscience.com%2Fwos%2Fwoscc%2Ffull-record%2FWOS:000078570100004","View Full Record in Web of Science")</f>
        <v>View Full Record in Web of Science</v>
      </c>
    </row>
    <row r="808" spans="1:72" x14ac:dyDescent="0.15">
      <c r="A808" t="s">
        <v>72</v>
      </c>
      <c r="B808" t="s">
        <v>10449</v>
      </c>
      <c r="C808" t="s">
        <v>74</v>
      </c>
      <c r="D808" t="s">
        <v>74</v>
      </c>
      <c r="E808" t="s">
        <v>74</v>
      </c>
      <c r="F808" t="s">
        <v>10449</v>
      </c>
      <c r="G808" t="s">
        <v>74</v>
      </c>
      <c r="H808" t="s">
        <v>74</v>
      </c>
      <c r="I808" t="s">
        <v>10450</v>
      </c>
      <c r="J808" t="s">
        <v>10451</v>
      </c>
      <c r="K808" t="s">
        <v>74</v>
      </c>
      <c r="L808" t="s">
        <v>74</v>
      </c>
      <c r="M808" t="s">
        <v>77</v>
      </c>
      <c r="N808" t="s">
        <v>78</v>
      </c>
      <c r="O808" t="s">
        <v>74</v>
      </c>
      <c r="P808" t="s">
        <v>74</v>
      </c>
      <c r="Q808" t="s">
        <v>74</v>
      </c>
      <c r="R808" t="s">
        <v>74</v>
      </c>
      <c r="S808" t="s">
        <v>74</v>
      </c>
      <c r="T808" t="s">
        <v>10452</v>
      </c>
      <c r="U808" t="s">
        <v>10453</v>
      </c>
      <c r="V808" t="s">
        <v>10454</v>
      </c>
      <c r="W808" t="s">
        <v>10455</v>
      </c>
      <c r="X808" t="s">
        <v>10456</v>
      </c>
      <c r="Y808" t="s">
        <v>10457</v>
      </c>
      <c r="Z808" t="s">
        <v>10458</v>
      </c>
      <c r="AA808" t="s">
        <v>10459</v>
      </c>
      <c r="AB808" t="s">
        <v>10460</v>
      </c>
      <c r="AC808" t="s">
        <v>74</v>
      </c>
      <c r="AD808" t="s">
        <v>74</v>
      </c>
      <c r="AE808" t="s">
        <v>74</v>
      </c>
      <c r="AF808" t="s">
        <v>74</v>
      </c>
      <c r="AG808">
        <v>36</v>
      </c>
      <c r="AH808">
        <v>48</v>
      </c>
      <c r="AI808">
        <v>50</v>
      </c>
      <c r="AJ808">
        <v>1</v>
      </c>
      <c r="AK808">
        <v>25</v>
      </c>
      <c r="AL808" t="s">
        <v>997</v>
      </c>
      <c r="AM808" t="s">
        <v>998</v>
      </c>
      <c r="AN808" t="s">
        <v>999</v>
      </c>
      <c r="AO808" t="s">
        <v>10461</v>
      </c>
      <c r="AP808" t="s">
        <v>10462</v>
      </c>
      <c r="AQ808" t="s">
        <v>74</v>
      </c>
      <c r="AR808" t="s">
        <v>10463</v>
      </c>
      <c r="AS808" t="s">
        <v>10464</v>
      </c>
      <c r="AT808" t="s">
        <v>9735</v>
      </c>
      <c r="AU808">
        <v>1999</v>
      </c>
      <c r="AV808">
        <v>24</v>
      </c>
      <c r="AW808">
        <v>1</v>
      </c>
      <c r="AX808" t="s">
        <v>74</v>
      </c>
      <c r="AY808" t="s">
        <v>74</v>
      </c>
      <c r="AZ808" t="s">
        <v>74</v>
      </c>
      <c r="BA808" t="s">
        <v>74</v>
      </c>
      <c r="BB808">
        <v>56</v>
      </c>
      <c r="BC808">
        <v>63</v>
      </c>
      <c r="BD808" t="s">
        <v>74</v>
      </c>
      <c r="BE808" t="s">
        <v>10465</v>
      </c>
      <c r="BF808" t="str">
        <f>HYPERLINK("http://dx.doi.org/10.1046/j.1365-3032.1999.00112.x","http://dx.doi.org/10.1046/j.1365-3032.1999.00112.x")</f>
        <v>http://dx.doi.org/10.1046/j.1365-3032.1999.00112.x</v>
      </c>
      <c r="BG808" t="s">
        <v>74</v>
      </c>
      <c r="BH808" t="s">
        <v>74</v>
      </c>
      <c r="BI808">
        <v>8</v>
      </c>
      <c r="BJ808" t="s">
        <v>8637</v>
      </c>
      <c r="BK808" t="s">
        <v>96</v>
      </c>
      <c r="BL808" t="s">
        <v>8637</v>
      </c>
      <c r="BM808" t="s">
        <v>10466</v>
      </c>
      <c r="BN808" t="s">
        <v>74</v>
      </c>
      <c r="BO808" t="s">
        <v>74</v>
      </c>
      <c r="BP808" t="s">
        <v>74</v>
      </c>
      <c r="BQ808" t="s">
        <v>74</v>
      </c>
      <c r="BR808" t="s">
        <v>99</v>
      </c>
      <c r="BS808" t="s">
        <v>10467</v>
      </c>
      <c r="BT808" t="str">
        <f>HYPERLINK("https%3A%2F%2Fwww.webofscience.com%2Fwos%2Fwoscc%2Ffull-record%2FWOS:000078887400008","View Full Record in Web of Science")</f>
        <v>View Full Record in Web of Science</v>
      </c>
    </row>
    <row r="809" spans="1:72" x14ac:dyDescent="0.15">
      <c r="A809" t="s">
        <v>72</v>
      </c>
      <c r="B809" t="s">
        <v>10468</v>
      </c>
      <c r="C809" t="s">
        <v>74</v>
      </c>
      <c r="D809" t="s">
        <v>74</v>
      </c>
      <c r="E809" t="s">
        <v>74</v>
      </c>
      <c r="F809" t="s">
        <v>10468</v>
      </c>
      <c r="G809" t="s">
        <v>74</v>
      </c>
      <c r="H809" t="s">
        <v>74</v>
      </c>
      <c r="I809" t="s">
        <v>10469</v>
      </c>
      <c r="J809" t="s">
        <v>4800</v>
      </c>
      <c r="K809" t="s">
        <v>74</v>
      </c>
      <c r="L809" t="s">
        <v>74</v>
      </c>
      <c r="M809" t="s">
        <v>77</v>
      </c>
      <c r="N809" t="s">
        <v>78</v>
      </c>
      <c r="O809" t="s">
        <v>74</v>
      </c>
      <c r="P809" t="s">
        <v>74</v>
      </c>
      <c r="Q809" t="s">
        <v>74</v>
      </c>
      <c r="R809" t="s">
        <v>74</v>
      </c>
      <c r="S809" t="s">
        <v>74</v>
      </c>
      <c r="T809" t="s">
        <v>74</v>
      </c>
      <c r="U809" t="s">
        <v>10470</v>
      </c>
      <c r="V809" t="s">
        <v>10471</v>
      </c>
      <c r="W809" t="s">
        <v>10472</v>
      </c>
      <c r="X809" t="s">
        <v>10473</v>
      </c>
      <c r="Y809" t="s">
        <v>1462</v>
      </c>
      <c r="Z809" t="s">
        <v>74</v>
      </c>
      <c r="AA809" t="s">
        <v>74</v>
      </c>
      <c r="AB809" t="s">
        <v>8153</v>
      </c>
      <c r="AC809" t="s">
        <v>74</v>
      </c>
      <c r="AD809" t="s">
        <v>74</v>
      </c>
      <c r="AE809" t="s">
        <v>74</v>
      </c>
      <c r="AF809" t="s">
        <v>74</v>
      </c>
      <c r="AG809">
        <v>23</v>
      </c>
      <c r="AH809">
        <v>52</v>
      </c>
      <c r="AI809">
        <v>55</v>
      </c>
      <c r="AJ809">
        <v>0</v>
      </c>
      <c r="AK809">
        <v>13</v>
      </c>
      <c r="AL809" t="s">
        <v>275</v>
      </c>
      <c r="AM809" t="s">
        <v>276</v>
      </c>
      <c r="AN809" t="s">
        <v>277</v>
      </c>
      <c r="AO809" t="s">
        <v>4806</v>
      </c>
      <c r="AP809" t="s">
        <v>74</v>
      </c>
      <c r="AQ809" t="s">
        <v>74</v>
      </c>
      <c r="AR809" t="s">
        <v>4807</v>
      </c>
      <c r="AS809" t="s">
        <v>4808</v>
      </c>
      <c r="AT809" t="s">
        <v>9913</v>
      </c>
      <c r="AU809">
        <v>1999</v>
      </c>
      <c r="AV809">
        <v>47</v>
      </c>
      <c r="AW809" t="s">
        <v>141</v>
      </c>
      <c r="AX809" t="s">
        <v>74</v>
      </c>
      <c r="AY809" t="s">
        <v>74</v>
      </c>
      <c r="AZ809" t="s">
        <v>74</v>
      </c>
      <c r="BA809" t="s">
        <v>74</v>
      </c>
      <c r="BB809">
        <v>353</v>
      </c>
      <c r="BC809">
        <v>362</v>
      </c>
      <c r="BD809" t="s">
        <v>74</v>
      </c>
      <c r="BE809" t="s">
        <v>10474</v>
      </c>
      <c r="BF809" t="str">
        <f>HYPERLINK("http://dx.doi.org/10.1016/S0032-0633(98)00127-5","http://dx.doi.org/10.1016/S0032-0633(98)00127-5")</f>
        <v>http://dx.doi.org/10.1016/S0032-0633(98)00127-5</v>
      </c>
      <c r="BG809" t="s">
        <v>74</v>
      </c>
      <c r="BH809" t="s">
        <v>74</v>
      </c>
      <c r="BI809">
        <v>10</v>
      </c>
      <c r="BJ809" t="s">
        <v>1076</v>
      </c>
      <c r="BK809" t="s">
        <v>96</v>
      </c>
      <c r="BL809" t="s">
        <v>1076</v>
      </c>
      <c r="BM809" t="s">
        <v>10475</v>
      </c>
      <c r="BN809" t="s">
        <v>74</v>
      </c>
      <c r="BO809" t="s">
        <v>74</v>
      </c>
      <c r="BP809" t="s">
        <v>74</v>
      </c>
      <c r="BQ809" t="s">
        <v>74</v>
      </c>
      <c r="BR809" t="s">
        <v>99</v>
      </c>
      <c r="BS809" t="s">
        <v>10476</v>
      </c>
      <c r="BT809" t="str">
        <f>HYPERLINK("https%3A%2F%2Fwww.webofscience.com%2Fwos%2Fwoscc%2Ffull-record%2FWOS:000079980300008","View Full Record in Web of Science")</f>
        <v>View Full Record in Web of Science</v>
      </c>
    </row>
    <row r="810" spans="1:72" x14ac:dyDescent="0.15">
      <c r="A810" t="s">
        <v>72</v>
      </c>
      <c r="B810" t="s">
        <v>10477</v>
      </c>
      <c r="C810" t="s">
        <v>74</v>
      </c>
      <c r="D810" t="s">
        <v>74</v>
      </c>
      <c r="E810" t="s">
        <v>74</v>
      </c>
      <c r="F810" t="s">
        <v>10477</v>
      </c>
      <c r="G810" t="s">
        <v>74</v>
      </c>
      <c r="H810" t="s">
        <v>74</v>
      </c>
      <c r="I810" t="s">
        <v>10478</v>
      </c>
      <c r="J810" t="s">
        <v>1375</v>
      </c>
      <c r="K810" t="s">
        <v>74</v>
      </c>
      <c r="L810" t="s">
        <v>74</v>
      </c>
      <c r="M810" t="s">
        <v>77</v>
      </c>
      <c r="N810" t="s">
        <v>78</v>
      </c>
      <c r="O810" t="s">
        <v>74</v>
      </c>
      <c r="P810" t="s">
        <v>74</v>
      </c>
      <c r="Q810" t="s">
        <v>74</v>
      </c>
      <c r="R810" t="s">
        <v>74</v>
      </c>
      <c r="S810" t="s">
        <v>74</v>
      </c>
      <c r="T810" t="s">
        <v>74</v>
      </c>
      <c r="U810" t="s">
        <v>10479</v>
      </c>
      <c r="V810" t="s">
        <v>10480</v>
      </c>
      <c r="W810" t="s">
        <v>10481</v>
      </c>
      <c r="X810" t="s">
        <v>10482</v>
      </c>
      <c r="Y810" t="s">
        <v>10483</v>
      </c>
      <c r="Z810" t="s">
        <v>10484</v>
      </c>
      <c r="AA810" t="s">
        <v>3785</v>
      </c>
      <c r="AB810" t="s">
        <v>3786</v>
      </c>
      <c r="AC810" t="s">
        <v>74</v>
      </c>
      <c r="AD810" t="s">
        <v>74</v>
      </c>
      <c r="AE810" t="s">
        <v>74</v>
      </c>
      <c r="AF810" t="s">
        <v>74</v>
      </c>
      <c r="AG810">
        <v>43</v>
      </c>
      <c r="AH810">
        <v>58</v>
      </c>
      <c r="AI810">
        <v>62</v>
      </c>
      <c r="AJ810">
        <v>0</v>
      </c>
      <c r="AK810">
        <v>4</v>
      </c>
      <c r="AL810" t="s">
        <v>705</v>
      </c>
      <c r="AM810" t="s">
        <v>554</v>
      </c>
      <c r="AN810" t="s">
        <v>706</v>
      </c>
      <c r="AO810" t="s">
        <v>1379</v>
      </c>
      <c r="AP810" t="s">
        <v>74</v>
      </c>
      <c r="AQ810" t="s">
        <v>74</v>
      </c>
      <c r="AR810" t="s">
        <v>1380</v>
      </c>
      <c r="AS810" t="s">
        <v>1381</v>
      </c>
      <c r="AT810" t="s">
        <v>9735</v>
      </c>
      <c r="AU810">
        <v>1999</v>
      </c>
      <c r="AV810">
        <v>21</v>
      </c>
      <c r="AW810">
        <v>3</v>
      </c>
      <c r="AX810" t="s">
        <v>74</v>
      </c>
      <c r="AY810" t="s">
        <v>74</v>
      </c>
      <c r="AZ810" t="s">
        <v>74</v>
      </c>
      <c r="BA810" t="s">
        <v>74</v>
      </c>
      <c r="BB810">
        <v>135</v>
      </c>
      <c r="BC810">
        <v>145</v>
      </c>
      <c r="BD810" t="s">
        <v>74</v>
      </c>
      <c r="BE810" t="s">
        <v>10485</v>
      </c>
      <c r="BF810" t="str">
        <f>HYPERLINK("http://dx.doi.org/10.1007/s003000050344","http://dx.doi.org/10.1007/s003000050344")</f>
        <v>http://dx.doi.org/10.1007/s003000050344</v>
      </c>
      <c r="BG810" t="s">
        <v>74</v>
      </c>
      <c r="BH810" t="s">
        <v>74</v>
      </c>
      <c r="BI810">
        <v>11</v>
      </c>
      <c r="BJ810" t="s">
        <v>1383</v>
      </c>
      <c r="BK810" t="s">
        <v>96</v>
      </c>
      <c r="BL810" t="s">
        <v>1384</v>
      </c>
      <c r="BM810" t="s">
        <v>10486</v>
      </c>
      <c r="BN810" t="s">
        <v>74</v>
      </c>
      <c r="BO810" t="s">
        <v>74</v>
      </c>
      <c r="BP810" t="s">
        <v>74</v>
      </c>
      <c r="BQ810" t="s">
        <v>74</v>
      </c>
      <c r="BR810" t="s">
        <v>99</v>
      </c>
      <c r="BS810" t="s">
        <v>10487</v>
      </c>
      <c r="BT810" t="str">
        <f>HYPERLINK("https%3A%2F%2Fwww.webofscience.com%2Fwos%2Fwoscc%2Ffull-record%2FWOS:000079146400002","View Full Record in Web of Science")</f>
        <v>View Full Record in Web of Science</v>
      </c>
    </row>
    <row r="811" spans="1:72" x14ac:dyDescent="0.15">
      <c r="A811" t="s">
        <v>72</v>
      </c>
      <c r="B811" t="s">
        <v>10488</v>
      </c>
      <c r="C811" t="s">
        <v>74</v>
      </c>
      <c r="D811" t="s">
        <v>74</v>
      </c>
      <c r="E811" t="s">
        <v>74</v>
      </c>
      <c r="F811" t="s">
        <v>10488</v>
      </c>
      <c r="G811" t="s">
        <v>74</v>
      </c>
      <c r="H811" t="s">
        <v>74</v>
      </c>
      <c r="I811" t="s">
        <v>10489</v>
      </c>
      <c r="J811" t="s">
        <v>1375</v>
      </c>
      <c r="K811" t="s">
        <v>74</v>
      </c>
      <c r="L811" t="s">
        <v>74</v>
      </c>
      <c r="M811" t="s">
        <v>77</v>
      </c>
      <c r="N811" t="s">
        <v>78</v>
      </c>
      <c r="O811" t="s">
        <v>74</v>
      </c>
      <c r="P811" t="s">
        <v>74</v>
      </c>
      <c r="Q811" t="s">
        <v>74</v>
      </c>
      <c r="R811" t="s">
        <v>74</v>
      </c>
      <c r="S811" t="s">
        <v>74</v>
      </c>
      <c r="T811" t="s">
        <v>74</v>
      </c>
      <c r="U811" t="s">
        <v>74</v>
      </c>
      <c r="V811" t="s">
        <v>10490</v>
      </c>
      <c r="W811" t="s">
        <v>6535</v>
      </c>
      <c r="X811" t="s">
        <v>4874</v>
      </c>
      <c r="Y811" t="s">
        <v>10491</v>
      </c>
      <c r="Z811" t="s">
        <v>74</v>
      </c>
      <c r="AA811" t="s">
        <v>10492</v>
      </c>
      <c r="AB811" t="s">
        <v>10493</v>
      </c>
      <c r="AC811" t="s">
        <v>74</v>
      </c>
      <c r="AD811" t="s">
        <v>74</v>
      </c>
      <c r="AE811" t="s">
        <v>74</v>
      </c>
      <c r="AF811" t="s">
        <v>74</v>
      </c>
      <c r="AG811">
        <v>20</v>
      </c>
      <c r="AH811">
        <v>20</v>
      </c>
      <c r="AI811">
        <v>24</v>
      </c>
      <c r="AJ811">
        <v>1</v>
      </c>
      <c r="AK811">
        <v>22</v>
      </c>
      <c r="AL811" t="s">
        <v>553</v>
      </c>
      <c r="AM811" t="s">
        <v>554</v>
      </c>
      <c r="AN811" t="s">
        <v>555</v>
      </c>
      <c r="AO811" t="s">
        <v>1379</v>
      </c>
      <c r="AP811" t="s">
        <v>74</v>
      </c>
      <c r="AQ811" t="s">
        <v>74</v>
      </c>
      <c r="AR811" t="s">
        <v>1380</v>
      </c>
      <c r="AS811" t="s">
        <v>1381</v>
      </c>
      <c r="AT811" t="s">
        <v>9735</v>
      </c>
      <c r="AU811">
        <v>1999</v>
      </c>
      <c r="AV811">
        <v>21</v>
      </c>
      <c r="AW811">
        <v>3</v>
      </c>
      <c r="AX811" t="s">
        <v>74</v>
      </c>
      <c r="AY811" t="s">
        <v>74</v>
      </c>
      <c r="AZ811" t="s">
        <v>74</v>
      </c>
      <c r="BA811" t="s">
        <v>74</v>
      </c>
      <c r="BB811">
        <v>146</v>
      </c>
      <c r="BC811">
        <v>150</v>
      </c>
      <c r="BD811" t="s">
        <v>74</v>
      </c>
      <c r="BE811" t="s">
        <v>10494</v>
      </c>
      <c r="BF811" t="str">
        <f>HYPERLINK("http://dx.doi.org/10.1007/s003000050345","http://dx.doi.org/10.1007/s003000050345")</f>
        <v>http://dx.doi.org/10.1007/s003000050345</v>
      </c>
      <c r="BG811" t="s">
        <v>74</v>
      </c>
      <c r="BH811" t="s">
        <v>74</v>
      </c>
      <c r="BI811">
        <v>5</v>
      </c>
      <c r="BJ811" t="s">
        <v>1383</v>
      </c>
      <c r="BK811" t="s">
        <v>96</v>
      </c>
      <c r="BL811" t="s">
        <v>1384</v>
      </c>
      <c r="BM811" t="s">
        <v>10486</v>
      </c>
      <c r="BN811" t="s">
        <v>74</v>
      </c>
      <c r="BO811" t="s">
        <v>74</v>
      </c>
      <c r="BP811" t="s">
        <v>74</v>
      </c>
      <c r="BQ811" t="s">
        <v>74</v>
      </c>
      <c r="BR811" t="s">
        <v>99</v>
      </c>
      <c r="BS811" t="s">
        <v>10495</v>
      </c>
      <c r="BT811" t="str">
        <f>HYPERLINK("https%3A%2F%2Fwww.webofscience.com%2Fwos%2Fwoscc%2Ffull-record%2FWOS:000079146400003","View Full Record in Web of Science")</f>
        <v>View Full Record in Web of Science</v>
      </c>
    </row>
    <row r="812" spans="1:72" x14ac:dyDescent="0.15">
      <c r="A812" t="s">
        <v>72</v>
      </c>
      <c r="B812" t="s">
        <v>10496</v>
      </c>
      <c r="C812" t="s">
        <v>74</v>
      </c>
      <c r="D812" t="s">
        <v>74</v>
      </c>
      <c r="E812" t="s">
        <v>74</v>
      </c>
      <c r="F812" t="s">
        <v>10496</v>
      </c>
      <c r="G812" t="s">
        <v>74</v>
      </c>
      <c r="H812" t="s">
        <v>74</v>
      </c>
      <c r="I812" t="s">
        <v>10497</v>
      </c>
      <c r="J812" t="s">
        <v>1375</v>
      </c>
      <c r="K812" t="s">
        <v>74</v>
      </c>
      <c r="L812" t="s">
        <v>74</v>
      </c>
      <c r="M812" t="s">
        <v>77</v>
      </c>
      <c r="N812" t="s">
        <v>78</v>
      </c>
      <c r="O812" t="s">
        <v>74</v>
      </c>
      <c r="P812" t="s">
        <v>74</v>
      </c>
      <c r="Q812" t="s">
        <v>74</v>
      </c>
      <c r="R812" t="s">
        <v>74</v>
      </c>
      <c r="S812" t="s">
        <v>74</v>
      </c>
      <c r="T812" t="s">
        <v>10498</v>
      </c>
      <c r="U812" t="s">
        <v>10499</v>
      </c>
      <c r="V812" t="s">
        <v>10500</v>
      </c>
      <c r="W812" t="s">
        <v>8036</v>
      </c>
      <c r="X812" t="s">
        <v>8037</v>
      </c>
      <c r="Y812" t="s">
        <v>10501</v>
      </c>
      <c r="Z812" t="s">
        <v>74</v>
      </c>
      <c r="AA812" t="s">
        <v>8039</v>
      </c>
      <c r="AB812" t="s">
        <v>8040</v>
      </c>
      <c r="AC812" t="s">
        <v>74</v>
      </c>
      <c r="AD812" t="s">
        <v>74</v>
      </c>
      <c r="AE812" t="s">
        <v>74</v>
      </c>
      <c r="AF812" t="s">
        <v>74</v>
      </c>
      <c r="AG812">
        <v>18</v>
      </c>
      <c r="AH812">
        <v>23</v>
      </c>
      <c r="AI812">
        <v>25</v>
      </c>
      <c r="AJ812">
        <v>0</v>
      </c>
      <c r="AK812">
        <v>2</v>
      </c>
      <c r="AL812" t="s">
        <v>553</v>
      </c>
      <c r="AM812" t="s">
        <v>554</v>
      </c>
      <c r="AN812" t="s">
        <v>555</v>
      </c>
      <c r="AO812" t="s">
        <v>1379</v>
      </c>
      <c r="AP812" t="s">
        <v>74</v>
      </c>
      <c r="AQ812" t="s">
        <v>74</v>
      </c>
      <c r="AR812" t="s">
        <v>1380</v>
      </c>
      <c r="AS812" t="s">
        <v>1381</v>
      </c>
      <c r="AT812" t="s">
        <v>9735</v>
      </c>
      <c r="AU812">
        <v>1999</v>
      </c>
      <c r="AV812">
        <v>21</v>
      </c>
      <c r="AW812">
        <v>3</v>
      </c>
      <c r="AX812" t="s">
        <v>74</v>
      </c>
      <c r="AY812" t="s">
        <v>74</v>
      </c>
      <c r="AZ812" t="s">
        <v>74</v>
      </c>
      <c r="BA812" t="s">
        <v>74</v>
      </c>
      <c r="BB812">
        <v>151</v>
      </c>
      <c r="BC812">
        <v>154</v>
      </c>
      <c r="BD812" t="s">
        <v>74</v>
      </c>
      <c r="BE812" t="s">
        <v>10502</v>
      </c>
      <c r="BF812" t="str">
        <f>HYPERLINK("http://dx.doi.org/10.1007/s003000050346","http://dx.doi.org/10.1007/s003000050346")</f>
        <v>http://dx.doi.org/10.1007/s003000050346</v>
      </c>
      <c r="BG812" t="s">
        <v>74</v>
      </c>
      <c r="BH812" t="s">
        <v>74</v>
      </c>
      <c r="BI812">
        <v>4</v>
      </c>
      <c r="BJ812" t="s">
        <v>1383</v>
      </c>
      <c r="BK812" t="s">
        <v>96</v>
      </c>
      <c r="BL812" t="s">
        <v>1384</v>
      </c>
      <c r="BM812" t="s">
        <v>10486</v>
      </c>
      <c r="BN812" t="s">
        <v>74</v>
      </c>
      <c r="BO812" t="s">
        <v>74</v>
      </c>
      <c r="BP812" t="s">
        <v>74</v>
      </c>
      <c r="BQ812" t="s">
        <v>74</v>
      </c>
      <c r="BR812" t="s">
        <v>99</v>
      </c>
      <c r="BS812" t="s">
        <v>10503</v>
      </c>
      <c r="BT812" t="str">
        <f>HYPERLINK("https%3A%2F%2Fwww.webofscience.com%2Fwos%2Fwoscc%2Ffull-record%2FWOS:000079146400004","View Full Record in Web of Science")</f>
        <v>View Full Record in Web of Science</v>
      </c>
    </row>
    <row r="813" spans="1:72" x14ac:dyDescent="0.15">
      <c r="A813" t="s">
        <v>72</v>
      </c>
      <c r="B813" t="s">
        <v>10504</v>
      </c>
      <c r="C813" t="s">
        <v>74</v>
      </c>
      <c r="D813" t="s">
        <v>74</v>
      </c>
      <c r="E813" t="s">
        <v>74</v>
      </c>
      <c r="F813" t="s">
        <v>10504</v>
      </c>
      <c r="G813" t="s">
        <v>74</v>
      </c>
      <c r="H813" t="s">
        <v>74</v>
      </c>
      <c r="I813" t="s">
        <v>10505</v>
      </c>
      <c r="J813" t="s">
        <v>1375</v>
      </c>
      <c r="K813" t="s">
        <v>74</v>
      </c>
      <c r="L813" t="s">
        <v>74</v>
      </c>
      <c r="M813" t="s">
        <v>77</v>
      </c>
      <c r="N813" t="s">
        <v>78</v>
      </c>
      <c r="O813" t="s">
        <v>74</v>
      </c>
      <c r="P813" t="s">
        <v>74</v>
      </c>
      <c r="Q813" t="s">
        <v>74</v>
      </c>
      <c r="R813" t="s">
        <v>74</v>
      </c>
      <c r="S813" t="s">
        <v>74</v>
      </c>
      <c r="T813" t="s">
        <v>74</v>
      </c>
      <c r="U813" t="s">
        <v>74</v>
      </c>
      <c r="V813" t="s">
        <v>10506</v>
      </c>
      <c r="W813" t="s">
        <v>10507</v>
      </c>
      <c r="X813" t="s">
        <v>74</v>
      </c>
      <c r="Y813" t="s">
        <v>10508</v>
      </c>
      <c r="Z813" t="s">
        <v>74</v>
      </c>
      <c r="AA813" t="s">
        <v>10265</v>
      </c>
      <c r="AB813" t="s">
        <v>10509</v>
      </c>
      <c r="AC813" t="s">
        <v>74</v>
      </c>
      <c r="AD813" t="s">
        <v>74</v>
      </c>
      <c r="AE813" t="s">
        <v>74</v>
      </c>
      <c r="AF813" t="s">
        <v>74</v>
      </c>
      <c r="AG813">
        <v>32</v>
      </c>
      <c r="AH813">
        <v>7</v>
      </c>
      <c r="AI813">
        <v>7</v>
      </c>
      <c r="AJ813">
        <v>0</v>
      </c>
      <c r="AK813">
        <v>1</v>
      </c>
      <c r="AL813" t="s">
        <v>553</v>
      </c>
      <c r="AM813" t="s">
        <v>554</v>
      </c>
      <c r="AN813" t="s">
        <v>555</v>
      </c>
      <c r="AO813" t="s">
        <v>1379</v>
      </c>
      <c r="AP813" t="s">
        <v>74</v>
      </c>
      <c r="AQ813" t="s">
        <v>74</v>
      </c>
      <c r="AR813" t="s">
        <v>1380</v>
      </c>
      <c r="AS813" t="s">
        <v>1381</v>
      </c>
      <c r="AT813" t="s">
        <v>9735</v>
      </c>
      <c r="AU813">
        <v>1999</v>
      </c>
      <c r="AV813">
        <v>21</v>
      </c>
      <c r="AW813">
        <v>3</v>
      </c>
      <c r="AX813" t="s">
        <v>74</v>
      </c>
      <c r="AY813" t="s">
        <v>74</v>
      </c>
      <c r="AZ813" t="s">
        <v>74</v>
      </c>
      <c r="BA813" t="s">
        <v>74</v>
      </c>
      <c r="BB813">
        <v>155</v>
      </c>
      <c r="BC813">
        <v>165</v>
      </c>
      <c r="BD813" t="s">
        <v>74</v>
      </c>
      <c r="BE813" t="s">
        <v>74</v>
      </c>
      <c r="BF813" t="s">
        <v>74</v>
      </c>
      <c r="BG813" t="s">
        <v>74</v>
      </c>
      <c r="BH813" t="s">
        <v>74</v>
      </c>
      <c r="BI813">
        <v>11</v>
      </c>
      <c r="BJ813" t="s">
        <v>1383</v>
      </c>
      <c r="BK813" t="s">
        <v>96</v>
      </c>
      <c r="BL813" t="s">
        <v>1384</v>
      </c>
      <c r="BM813" t="s">
        <v>10486</v>
      </c>
      <c r="BN813" t="s">
        <v>74</v>
      </c>
      <c r="BO813" t="s">
        <v>74</v>
      </c>
      <c r="BP813" t="s">
        <v>74</v>
      </c>
      <c r="BQ813" t="s">
        <v>74</v>
      </c>
      <c r="BR813" t="s">
        <v>99</v>
      </c>
      <c r="BS813" t="s">
        <v>10510</v>
      </c>
      <c r="BT813" t="str">
        <f>HYPERLINK("https%3A%2F%2Fwww.webofscience.com%2Fwos%2Fwoscc%2Ffull-record%2FWOS:000079146400005","View Full Record in Web of Science")</f>
        <v>View Full Record in Web of Science</v>
      </c>
    </row>
    <row r="814" spans="1:72" x14ac:dyDescent="0.15">
      <c r="A814" t="s">
        <v>72</v>
      </c>
      <c r="B814" t="s">
        <v>10511</v>
      </c>
      <c r="C814" t="s">
        <v>74</v>
      </c>
      <c r="D814" t="s">
        <v>74</v>
      </c>
      <c r="E814" t="s">
        <v>74</v>
      </c>
      <c r="F814" t="s">
        <v>10511</v>
      </c>
      <c r="G814" t="s">
        <v>74</v>
      </c>
      <c r="H814" t="s">
        <v>74</v>
      </c>
      <c r="I814" t="s">
        <v>10512</v>
      </c>
      <c r="J814" t="s">
        <v>1375</v>
      </c>
      <c r="K814" t="s">
        <v>74</v>
      </c>
      <c r="L814" t="s">
        <v>74</v>
      </c>
      <c r="M814" t="s">
        <v>77</v>
      </c>
      <c r="N814" t="s">
        <v>78</v>
      </c>
      <c r="O814" t="s">
        <v>74</v>
      </c>
      <c r="P814" t="s">
        <v>74</v>
      </c>
      <c r="Q814" t="s">
        <v>74</v>
      </c>
      <c r="R814" t="s">
        <v>74</v>
      </c>
      <c r="S814" t="s">
        <v>74</v>
      </c>
      <c r="T814" t="s">
        <v>74</v>
      </c>
      <c r="U814" t="s">
        <v>10513</v>
      </c>
      <c r="V814" t="s">
        <v>10514</v>
      </c>
      <c r="W814" t="s">
        <v>10515</v>
      </c>
      <c r="X814" t="s">
        <v>10516</v>
      </c>
      <c r="Y814" t="s">
        <v>10517</v>
      </c>
      <c r="Z814" t="s">
        <v>74</v>
      </c>
      <c r="AA814" t="s">
        <v>10518</v>
      </c>
      <c r="AB814" t="s">
        <v>10519</v>
      </c>
      <c r="AC814" t="s">
        <v>74</v>
      </c>
      <c r="AD814" t="s">
        <v>74</v>
      </c>
      <c r="AE814" t="s">
        <v>74</v>
      </c>
      <c r="AF814" t="s">
        <v>74</v>
      </c>
      <c r="AG814">
        <v>13</v>
      </c>
      <c r="AH814">
        <v>5</v>
      </c>
      <c r="AI814">
        <v>5</v>
      </c>
      <c r="AJ814">
        <v>0</v>
      </c>
      <c r="AK814">
        <v>2</v>
      </c>
      <c r="AL814" t="s">
        <v>553</v>
      </c>
      <c r="AM814" t="s">
        <v>554</v>
      </c>
      <c r="AN814" t="s">
        <v>555</v>
      </c>
      <c r="AO814" t="s">
        <v>1379</v>
      </c>
      <c r="AP814" t="s">
        <v>74</v>
      </c>
      <c r="AQ814" t="s">
        <v>74</v>
      </c>
      <c r="AR814" t="s">
        <v>1380</v>
      </c>
      <c r="AS814" t="s">
        <v>1381</v>
      </c>
      <c r="AT814" t="s">
        <v>9735</v>
      </c>
      <c r="AU814">
        <v>1999</v>
      </c>
      <c r="AV814">
        <v>21</v>
      </c>
      <c r="AW814">
        <v>3</v>
      </c>
      <c r="AX814" t="s">
        <v>74</v>
      </c>
      <c r="AY814" t="s">
        <v>74</v>
      </c>
      <c r="AZ814" t="s">
        <v>74</v>
      </c>
      <c r="BA814" t="s">
        <v>74</v>
      </c>
      <c r="BB814">
        <v>166</v>
      </c>
      <c r="BC814">
        <v>170</v>
      </c>
      <c r="BD814" t="s">
        <v>74</v>
      </c>
      <c r="BE814" t="s">
        <v>10520</v>
      </c>
      <c r="BF814" t="str">
        <f>HYPERLINK("http://dx.doi.org/10.1007/s003000050348","http://dx.doi.org/10.1007/s003000050348")</f>
        <v>http://dx.doi.org/10.1007/s003000050348</v>
      </c>
      <c r="BG814" t="s">
        <v>74</v>
      </c>
      <c r="BH814" t="s">
        <v>74</v>
      </c>
      <c r="BI814">
        <v>5</v>
      </c>
      <c r="BJ814" t="s">
        <v>1383</v>
      </c>
      <c r="BK814" t="s">
        <v>96</v>
      </c>
      <c r="BL814" t="s">
        <v>1384</v>
      </c>
      <c r="BM814" t="s">
        <v>10486</v>
      </c>
      <c r="BN814" t="s">
        <v>74</v>
      </c>
      <c r="BO814" t="s">
        <v>74</v>
      </c>
      <c r="BP814" t="s">
        <v>74</v>
      </c>
      <c r="BQ814" t="s">
        <v>74</v>
      </c>
      <c r="BR814" t="s">
        <v>99</v>
      </c>
      <c r="BS814" t="s">
        <v>10521</v>
      </c>
      <c r="BT814" t="str">
        <f>HYPERLINK("https%3A%2F%2Fwww.webofscience.com%2Fwos%2Fwoscc%2Ffull-record%2FWOS:000079146400006","View Full Record in Web of Science")</f>
        <v>View Full Record in Web of Science</v>
      </c>
    </row>
    <row r="815" spans="1:72" x14ac:dyDescent="0.15">
      <c r="A815" t="s">
        <v>72</v>
      </c>
      <c r="B815" t="s">
        <v>4871</v>
      </c>
      <c r="C815" t="s">
        <v>74</v>
      </c>
      <c r="D815" t="s">
        <v>74</v>
      </c>
      <c r="E815" t="s">
        <v>74</v>
      </c>
      <c r="F815" t="s">
        <v>4871</v>
      </c>
      <c r="G815" t="s">
        <v>74</v>
      </c>
      <c r="H815" t="s">
        <v>74</v>
      </c>
      <c r="I815" t="s">
        <v>10522</v>
      </c>
      <c r="J815" t="s">
        <v>1375</v>
      </c>
      <c r="K815" t="s">
        <v>74</v>
      </c>
      <c r="L815" t="s">
        <v>74</v>
      </c>
      <c r="M815" t="s">
        <v>77</v>
      </c>
      <c r="N815" t="s">
        <v>78</v>
      </c>
      <c r="O815" t="s">
        <v>74</v>
      </c>
      <c r="P815" t="s">
        <v>74</v>
      </c>
      <c r="Q815" t="s">
        <v>74</v>
      </c>
      <c r="R815" t="s">
        <v>74</v>
      </c>
      <c r="S815" t="s">
        <v>74</v>
      </c>
      <c r="T815" t="s">
        <v>74</v>
      </c>
      <c r="U815" t="s">
        <v>10523</v>
      </c>
      <c r="V815" t="s">
        <v>10524</v>
      </c>
      <c r="W815" t="s">
        <v>4873</v>
      </c>
      <c r="X815" t="s">
        <v>4874</v>
      </c>
      <c r="Y815" t="s">
        <v>4875</v>
      </c>
      <c r="Z815" t="s">
        <v>74</v>
      </c>
      <c r="AA815" t="s">
        <v>4876</v>
      </c>
      <c r="AB815" t="s">
        <v>4877</v>
      </c>
      <c r="AC815" t="s">
        <v>74</v>
      </c>
      <c r="AD815" t="s">
        <v>74</v>
      </c>
      <c r="AE815" t="s">
        <v>74</v>
      </c>
      <c r="AF815" t="s">
        <v>74</v>
      </c>
      <c r="AG815">
        <v>19</v>
      </c>
      <c r="AH815">
        <v>14</v>
      </c>
      <c r="AI815">
        <v>16</v>
      </c>
      <c r="AJ815">
        <v>0</v>
      </c>
      <c r="AK815">
        <v>8</v>
      </c>
      <c r="AL815" t="s">
        <v>553</v>
      </c>
      <c r="AM815" t="s">
        <v>554</v>
      </c>
      <c r="AN815" t="s">
        <v>555</v>
      </c>
      <c r="AO815" t="s">
        <v>1379</v>
      </c>
      <c r="AP815" t="s">
        <v>74</v>
      </c>
      <c r="AQ815" t="s">
        <v>74</v>
      </c>
      <c r="AR815" t="s">
        <v>1380</v>
      </c>
      <c r="AS815" t="s">
        <v>1381</v>
      </c>
      <c r="AT815" t="s">
        <v>9735</v>
      </c>
      <c r="AU815">
        <v>1999</v>
      </c>
      <c r="AV815">
        <v>21</v>
      </c>
      <c r="AW815">
        <v>3</v>
      </c>
      <c r="AX815" t="s">
        <v>74</v>
      </c>
      <c r="AY815" t="s">
        <v>74</v>
      </c>
      <c r="AZ815" t="s">
        <v>74</v>
      </c>
      <c r="BA815" t="s">
        <v>74</v>
      </c>
      <c r="BB815">
        <v>197</v>
      </c>
      <c r="BC815">
        <v>200</v>
      </c>
      <c r="BD815" t="s">
        <v>74</v>
      </c>
      <c r="BE815" t="s">
        <v>10525</v>
      </c>
      <c r="BF815" t="str">
        <f>HYPERLINK("http://dx.doi.org/10.1007/s003000050353","http://dx.doi.org/10.1007/s003000050353")</f>
        <v>http://dx.doi.org/10.1007/s003000050353</v>
      </c>
      <c r="BG815" t="s">
        <v>74</v>
      </c>
      <c r="BH815" t="s">
        <v>74</v>
      </c>
      <c r="BI815">
        <v>4</v>
      </c>
      <c r="BJ815" t="s">
        <v>1383</v>
      </c>
      <c r="BK815" t="s">
        <v>96</v>
      </c>
      <c r="BL815" t="s">
        <v>1384</v>
      </c>
      <c r="BM815" t="s">
        <v>10486</v>
      </c>
      <c r="BN815" t="s">
        <v>74</v>
      </c>
      <c r="BO815" t="s">
        <v>74</v>
      </c>
      <c r="BP815" t="s">
        <v>74</v>
      </c>
      <c r="BQ815" t="s">
        <v>74</v>
      </c>
      <c r="BR815" t="s">
        <v>99</v>
      </c>
      <c r="BS815" t="s">
        <v>10526</v>
      </c>
      <c r="BT815" t="str">
        <f>HYPERLINK("https%3A%2F%2Fwww.webofscience.com%2Fwos%2Fwoscc%2Ffull-record%2FWOS:000079146400011","View Full Record in Web of Science")</f>
        <v>View Full Record in Web of Science</v>
      </c>
    </row>
    <row r="816" spans="1:72" x14ac:dyDescent="0.15">
      <c r="A816" t="s">
        <v>72</v>
      </c>
      <c r="B816" t="s">
        <v>10527</v>
      </c>
      <c r="C816" t="s">
        <v>74</v>
      </c>
      <c r="D816" t="s">
        <v>74</v>
      </c>
      <c r="E816" t="s">
        <v>74</v>
      </c>
      <c r="F816" t="s">
        <v>10527</v>
      </c>
      <c r="G816" t="s">
        <v>74</v>
      </c>
      <c r="H816" t="s">
        <v>74</v>
      </c>
      <c r="I816" t="s">
        <v>10528</v>
      </c>
      <c r="J816" t="s">
        <v>3835</v>
      </c>
      <c r="K816" t="s">
        <v>74</v>
      </c>
      <c r="L816" t="s">
        <v>74</v>
      </c>
      <c r="M816" t="s">
        <v>77</v>
      </c>
      <c r="N816" t="s">
        <v>78</v>
      </c>
      <c r="O816" t="s">
        <v>74</v>
      </c>
      <c r="P816" t="s">
        <v>74</v>
      </c>
      <c r="Q816" t="s">
        <v>74</v>
      </c>
      <c r="R816" t="s">
        <v>74</v>
      </c>
      <c r="S816" t="s">
        <v>74</v>
      </c>
      <c r="T816" t="s">
        <v>74</v>
      </c>
      <c r="U816" t="s">
        <v>10529</v>
      </c>
      <c r="V816" t="s">
        <v>10530</v>
      </c>
      <c r="W816" t="s">
        <v>10531</v>
      </c>
      <c r="X816" t="s">
        <v>10532</v>
      </c>
      <c r="Y816" t="s">
        <v>10533</v>
      </c>
      <c r="Z816" t="s">
        <v>74</v>
      </c>
      <c r="AA816" t="s">
        <v>74</v>
      </c>
      <c r="AB816" t="s">
        <v>74</v>
      </c>
      <c r="AC816" t="s">
        <v>74</v>
      </c>
      <c r="AD816" t="s">
        <v>74</v>
      </c>
      <c r="AE816" t="s">
        <v>74</v>
      </c>
      <c r="AF816" t="s">
        <v>74</v>
      </c>
      <c r="AG816">
        <v>24</v>
      </c>
      <c r="AH816">
        <v>7</v>
      </c>
      <c r="AI816">
        <v>11</v>
      </c>
      <c r="AJ816">
        <v>0</v>
      </c>
      <c r="AK816">
        <v>0</v>
      </c>
      <c r="AL816" t="s">
        <v>230</v>
      </c>
      <c r="AM816" t="s">
        <v>231</v>
      </c>
      <c r="AN816" t="s">
        <v>232</v>
      </c>
      <c r="AO816" t="s">
        <v>3841</v>
      </c>
      <c r="AP816" t="s">
        <v>74</v>
      </c>
      <c r="AQ816" t="s">
        <v>74</v>
      </c>
      <c r="AR816" t="s">
        <v>3842</v>
      </c>
      <c r="AS816" t="s">
        <v>3843</v>
      </c>
      <c r="AT816" t="s">
        <v>9913</v>
      </c>
      <c r="AU816">
        <v>1999</v>
      </c>
      <c r="AV816">
        <v>34</v>
      </c>
      <c r="AW816">
        <v>2</v>
      </c>
      <c r="AX816" t="s">
        <v>74</v>
      </c>
      <c r="AY816" t="s">
        <v>74</v>
      </c>
      <c r="AZ816" t="s">
        <v>74</v>
      </c>
      <c r="BA816" t="s">
        <v>74</v>
      </c>
      <c r="BB816">
        <v>501</v>
      </c>
      <c r="BC816">
        <v>508</v>
      </c>
      <c r="BD816" t="s">
        <v>74</v>
      </c>
      <c r="BE816" t="s">
        <v>10534</v>
      </c>
      <c r="BF816" t="str">
        <f>HYPERLINK("http://dx.doi.org/10.1029/1998RS900005","http://dx.doi.org/10.1029/1998RS900005")</f>
        <v>http://dx.doi.org/10.1029/1998RS900005</v>
      </c>
      <c r="BG816" t="s">
        <v>74</v>
      </c>
      <c r="BH816" t="s">
        <v>74</v>
      </c>
      <c r="BI816">
        <v>8</v>
      </c>
      <c r="BJ816" t="s">
        <v>3845</v>
      </c>
      <c r="BK816" t="s">
        <v>96</v>
      </c>
      <c r="BL816" t="s">
        <v>3845</v>
      </c>
      <c r="BM816" t="s">
        <v>10535</v>
      </c>
      <c r="BN816" t="s">
        <v>74</v>
      </c>
      <c r="BO816" t="s">
        <v>74</v>
      </c>
      <c r="BP816" t="s">
        <v>74</v>
      </c>
      <c r="BQ816" t="s">
        <v>74</v>
      </c>
      <c r="BR816" t="s">
        <v>99</v>
      </c>
      <c r="BS816" t="s">
        <v>10536</v>
      </c>
      <c r="BT816" t="str">
        <f>HYPERLINK("https%3A%2F%2Fwww.webofscience.com%2Fwos%2Fwoscc%2Ffull-record%2FWOS:000079399300017","View Full Record in Web of Science")</f>
        <v>View Full Record in Web of Science</v>
      </c>
    </row>
    <row r="817" spans="1:72" x14ac:dyDescent="0.15">
      <c r="A817" t="s">
        <v>72</v>
      </c>
      <c r="B817" t="s">
        <v>10537</v>
      </c>
      <c r="C817" t="s">
        <v>74</v>
      </c>
      <c r="D817" t="s">
        <v>74</v>
      </c>
      <c r="E817" t="s">
        <v>74</v>
      </c>
      <c r="F817" t="s">
        <v>10537</v>
      </c>
      <c r="G817" t="s">
        <v>74</v>
      </c>
      <c r="H817" t="s">
        <v>74</v>
      </c>
      <c r="I817" t="s">
        <v>10538</v>
      </c>
      <c r="J817" t="s">
        <v>10539</v>
      </c>
      <c r="K817" t="s">
        <v>74</v>
      </c>
      <c r="L817" t="s">
        <v>74</v>
      </c>
      <c r="M817" t="s">
        <v>77</v>
      </c>
      <c r="N817" t="s">
        <v>78</v>
      </c>
      <c r="O817" t="s">
        <v>74</v>
      </c>
      <c r="P817" t="s">
        <v>74</v>
      </c>
      <c r="Q817" t="s">
        <v>74</v>
      </c>
      <c r="R817" t="s">
        <v>74</v>
      </c>
      <c r="S817" t="s">
        <v>74</v>
      </c>
      <c r="T817" t="s">
        <v>74</v>
      </c>
      <c r="U817" t="s">
        <v>74</v>
      </c>
      <c r="V817" t="s">
        <v>74</v>
      </c>
      <c r="W817" t="s">
        <v>10540</v>
      </c>
      <c r="X817" t="s">
        <v>10541</v>
      </c>
      <c r="Y817" t="s">
        <v>10542</v>
      </c>
      <c r="Z817" t="s">
        <v>74</v>
      </c>
      <c r="AA817" t="s">
        <v>74</v>
      </c>
      <c r="AB817" t="s">
        <v>74</v>
      </c>
      <c r="AC817" t="s">
        <v>74</v>
      </c>
      <c r="AD817" t="s">
        <v>74</v>
      </c>
      <c r="AE817" t="s">
        <v>74</v>
      </c>
      <c r="AF817" t="s">
        <v>74</v>
      </c>
      <c r="AG817">
        <v>0</v>
      </c>
      <c r="AH817">
        <v>2</v>
      </c>
      <c r="AI817">
        <v>2</v>
      </c>
      <c r="AJ817">
        <v>0</v>
      </c>
      <c r="AK817">
        <v>0</v>
      </c>
      <c r="AL817" t="s">
        <v>10543</v>
      </c>
      <c r="AM817" t="s">
        <v>554</v>
      </c>
      <c r="AN817" t="s">
        <v>10544</v>
      </c>
      <c r="AO817" t="s">
        <v>10545</v>
      </c>
      <c r="AP817" t="s">
        <v>74</v>
      </c>
      <c r="AQ817" t="s">
        <v>74</v>
      </c>
      <c r="AR817" t="s">
        <v>10546</v>
      </c>
      <c r="AS817" t="s">
        <v>10547</v>
      </c>
      <c r="AT817" t="s">
        <v>9913</v>
      </c>
      <c r="AU817">
        <v>1999</v>
      </c>
      <c r="AV817">
        <v>39</v>
      </c>
      <c r="AW817">
        <v>2</v>
      </c>
      <c r="AX817" t="s">
        <v>74</v>
      </c>
      <c r="AY817" t="s">
        <v>74</v>
      </c>
      <c r="AZ817" t="s">
        <v>74</v>
      </c>
      <c r="BA817" t="s">
        <v>74</v>
      </c>
      <c r="BB817">
        <v>19</v>
      </c>
      <c r="BC817">
        <v>24</v>
      </c>
      <c r="BD817" t="s">
        <v>74</v>
      </c>
      <c r="BE817" t="s">
        <v>74</v>
      </c>
      <c r="BF817" t="s">
        <v>74</v>
      </c>
      <c r="BG817" t="s">
        <v>74</v>
      </c>
      <c r="BH817" t="s">
        <v>74</v>
      </c>
      <c r="BI817">
        <v>6</v>
      </c>
      <c r="BJ817" t="s">
        <v>303</v>
      </c>
      <c r="BK817" t="s">
        <v>96</v>
      </c>
      <c r="BL817" t="s">
        <v>304</v>
      </c>
      <c r="BM817" t="s">
        <v>10548</v>
      </c>
      <c r="BN817" t="s">
        <v>74</v>
      </c>
      <c r="BO817" t="s">
        <v>74</v>
      </c>
      <c r="BP817" t="s">
        <v>74</v>
      </c>
      <c r="BQ817" t="s">
        <v>74</v>
      </c>
      <c r="BR817" t="s">
        <v>99</v>
      </c>
      <c r="BS817" t="s">
        <v>10549</v>
      </c>
      <c r="BT817" t="str">
        <f>HYPERLINK("https%3A%2F%2Fwww.webofscience.com%2Fwos%2Fwoscc%2Ffull-record%2FWOS:000079045300011","View Full Record in Web of Science")</f>
        <v>View Full Record in Web of Science</v>
      </c>
    </row>
    <row r="818" spans="1:72" x14ac:dyDescent="0.15">
      <c r="A818" t="s">
        <v>72</v>
      </c>
      <c r="B818" t="s">
        <v>10550</v>
      </c>
      <c r="C818" t="s">
        <v>74</v>
      </c>
      <c r="D818" t="s">
        <v>74</v>
      </c>
      <c r="E818" t="s">
        <v>74</v>
      </c>
      <c r="F818" t="s">
        <v>10550</v>
      </c>
      <c r="G818" t="s">
        <v>74</v>
      </c>
      <c r="H818" t="s">
        <v>74</v>
      </c>
      <c r="I818" t="s">
        <v>10551</v>
      </c>
      <c r="J818" t="s">
        <v>1731</v>
      </c>
      <c r="K818" t="s">
        <v>74</v>
      </c>
      <c r="L818" t="s">
        <v>74</v>
      </c>
      <c r="M818" t="s">
        <v>77</v>
      </c>
      <c r="N818" t="s">
        <v>78</v>
      </c>
      <c r="O818" t="s">
        <v>74</v>
      </c>
      <c r="P818" t="s">
        <v>74</v>
      </c>
      <c r="Q818" t="s">
        <v>74</v>
      </c>
      <c r="R818" t="s">
        <v>74</v>
      </c>
      <c r="S818" t="s">
        <v>74</v>
      </c>
      <c r="T818" t="s">
        <v>10552</v>
      </c>
      <c r="U818" t="s">
        <v>10553</v>
      </c>
      <c r="V818" t="s">
        <v>10554</v>
      </c>
      <c r="W818" t="s">
        <v>7520</v>
      </c>
      <c r="X818" t="s">
        <v>7521</v>
      </c>
      <c r="Y818" t="s">
        <v>10555</v>
      </c>
      <c r="Z818" t="s">
        <v>10556</v>
      </c>
      <c r="AA818" t="s">
        <v>10557</v>
      </c>
      <c r="AB818" t="s">
        <v>74</v>
      </c>
      <c r="AC818" t="s">
        <v>74</v>
      </c>
      <c r="AD818" t="s">
        <v>74</v>
      </c>
      <c r="AE818" t="s">
        <v>74</v>
      </c>
      <c r="AF818" t="s">
        <v>74</v>
      </c>
      <c r="AG818">
        <v>65</v>
      </c>
      <c r="AH818">
        <v>18</v>
      </c>
      <c r="AI818">
        <v>38</v>
      </c>
      <c r="AJ818">
        <v>0</v>
      </c>
      <c r="AK818">
        <v>1</v>
      </c>
      <c r="AL818" t="s">
        <v>1263</v>
      </c>
      <c r="AM818" t="s">
        <v>211</v>
      </c>
      <c r="AN818" t="s">
        <v>1264</v>
      </c>
      <c r="AO818" t="s">
        <v>1737</v>
      </c>
      <c r="AP818" t="s">
        <v>1753</v>
      </c>
      <c r="AQ818" t="s">
        <v>74</v>
      </c>
      <c r="AR818" t="s">
        <v>1738</v>
      </c>
      <c r="AS818" t="s">
        <v>1739</v>
      </c>
      <c r="AT818" t="s">
        <v>9735</v>
      </c>
      <c r="AU818">
        <v>1999</v>
      </c>
      <c r="AV818">
        <v>124</v>
      </c>
      <c r="AW818" t="s">
        <v>2149</v>
      </c>
      <c r="AX818" t="s">
        <v>74</v>
      </c>
      <c r="AY818" t="s">
        <v>74</v>
      </c>
      <c r="AZ818" t="s">
        <v>4033</v>
      </c>
      <c r="BA818" t="s">
        <v>74</v>
      </c>
      <c r="BB818">
        <v>47</v>
      </c>
      <c r="BC818">
        <v>67</v>
      </c>
      <c r="BD818" t="s">
        <v>74</v>
      </c>
      <c r="BE818" t="s">
        <v>10558</v>
      </c>
      <c r="BF818" t="str">
        <f>HYPERLINK("http://dx.doi.org/10.1016/S0037-0738(98)00120-1","http://dx.doi.org/10.1016/S0037-0738(98)00120-1")</f>
        <v>http://dx.doi.org/10.1016/S0037-0738(98)00120-1</v>
      </c>
      <c r="BG818" t="s">
        <v>74</v>
      </c>
      <c r="BH818" t="s">
        <v>74</v>
      </c>
      <c r="BI818">
        <v>21</v>
      </c>
      <c r="BJ818" t="s">
        <v>388</v>
      </c>
      <c r="BK818" t="s">
        <v>96</v>
      </c>
      <c r="BL818" t="s">
        <v>388</v>
      </c>
      <c r="BM818" t="s">
        <v>10559</v>
      </c>
      <c r="BN818" t="s">
        <v>74</v>
      </c>
      <c r="BO818" t="s">
        <v>74</v>
      </c>
      <c r="BP818" t="s">
        <v>74</v>
      </c>
      <c r="BQ818" t="s">
        <v>74</v>
      </c>
      <c r="BR818" t="s">
        <v>99</v>
      </c>
      <c r="BS818" t="s">
        <v>10560</v>
      </c>
      <c r="BT818" t="str">
        <f>HYPERLINK("https%3A%2F%2Fwww.webofscience.com%2Fwos%2Fwoscc%2Ffull-record%2FWOS:000078884800004","View Full Record in Web of Science")</f>
        <v>View Full Record in Web of Science</v>
      </c>
    </row>
    <row r="819" spans="1:72" x14ac:dyDescent="0.15">
      <c r="A819" t="s">
        <v>72</v>
      </c>
      <c r="B819" t="s">
        <v>10561</v>
      </c>
      <c r="C819" t="s">
        <v>74</v>
      </c>
      <c r="D819" t="s">
        <v>74</v>
      </c>
      <c r="E819" t="s">
        <v>74</v>
      </c>
      <c r="F819" t="s">
        <v>10561</v>
      </c>
      <c r="G819" t="s">
        <v>74</v>
      </c>
      <c r="H819" t="s">
        <v>74</v>
      </c>
      <c r="I819" t="s">
        <v>10562</v>
      </c>
      <c r="J819" t="s">
        <v>10563</v>
      </c>
      <c r="K819" t="s">
        <v>74</v>
      </c>
      <c r="L819" t="s">
        <v>74</v>
      </c>
      <c r="M819" t="s">
        <v>77</v>
      </c>
      <c r="N819" t="s">
        <v>78</v>
      </c>
      <c r="O819" t="s">
        <v>74</v>
      </c>
      <c r="P819" t="s">
        <v>74</v>
      </c>
      <c r="Q819" t="s">
        <v>74</v>
      </c>
      <c r="R819" t="s">
        <v>74</v>
      </c>
      <c r="S819" t="s">
        <v>74</v>
      </c>
      <c r="T819" t="s">
        <v>74</v>
      </c>
      <c r="U819" t="s">
        <v>10564</v>
      </c>
      <c r="V819" t="s">
        <v>10565</v>
      </c>
      <c r="W819" t="s">
        <v>10566</v>
      </c>
      <c r="X819" t="s">
        <v>10567</v>
      </c>
      <c r="Y819" t="s">
        <v>10568</v>
      </c>
      <c r="Z819" t="s">
        <v>74</v>
      </c>
      <c r="AA819" t="s">
        <v>74</v>
      </c>
      <c r="AB819" t="s">
        <v>74</v>
      </c>
      <c r="AC819" t="s">
        <v>74</v>
      </c>
      <c r="AD819" t="s">
        <v>74</v>
      </c>
      <c r="AE819" t="s">
        <v>74</v>
      </c>
      <c r="AF819" t="s">
        <v>74</v>
      </c>
      <c r="AG819">
        <v>39</v>
      </c>
      <c r="AH819">
        <v>22</v>
      </c>
      <c r="AI819">
        <v>25</v>
      </c>
      <c r="AJ819">
        <v>0</v>
      </c>
      <c r="AK819">
        <v>7</v>
      </c>
      <c r="AL819" t="s">
        <v>275</v>
      </c>
      <c r="AM819" t="s">
        <v>276</v>
      </c>
      <c r="AN819" t="s">
        <v>277</v>
      </c>
      <c r="AO819" t="s">
        <v>10569</v>
      </c>
      <c r="AP819" t="s">
        <v>10570</v>
      </c>
      <c r="AQ819" t="s">
        <v>74</v>
      </c>
      <c r="AR819" t="s">
        <v>10571</v>
      </c>
      <c r="AS819" t="s">
        <v>10572</v>
      </c>
      <c r="AT819" t="s">
        <v>9735</v>
      </c>
      <c r="AU819">
        <v>1999</v>
      </c>
      <c r="AV819">
        <v>31</v>
      </c>
      <c r="AW819">
        <v>3</v>
      </c>
      <c r="AX819" t="s">
        <v>74</v>
      </c>
      <c r="AY819" t="s">
        <v>74</v>
      </c>
      <c r="AZ819" t="s">
        <v>74</v>
      </c>
      <c r="BA819" t="s">
        <v>74</v>
      </c>
      <c r="BB819">
        <v>353</v>
      </c>
      <c r="BC819">
        <v>361</v>
      </c>
      <c r="BD819" t="s">
        <v>74</v>
      </c>
      <c r="BE819" t="s">
        <v>10573</v>
      </c>
      <c r="BF819" t="str">
        <f>HYPERLINK("http://dx.doi.org/10.1016/S0038-0717(98)00134-5","http://dx.doi.org/10.1016/S0038-0717(98)00134-5")</f>
        <v>http://dx.doi.org/10.1016/S0038-0717(98)00134-5</v>
      </c>
      <c r="BG819" t="s">
        <v>74</v>
      </c>
      <c r="BH819" t="s">
        <v>74</v>
      </c>
      <c r="BI819">
        <v>9</v>
      </c>
      <c r="BJ819" t="s">
        <v>1919</v>
      </c>
      <c r="BK819" t="s">
        <v>96</v>
      </c>
      <c r="BL819" t="s">
        <v>1920</v>
      </c>
      <c r="BM819" t="s">
        <v>10574</v>
      </c>
      <c r="BN819" t="s">
        <v>74</v>
      </c>
      <c r="BO819" t="s">
        <v>74</v>
      </c>
      <c r="BP819" t="s">
        <v>74</v>
      </c>
      <c r="BQ819" t="s">
        <v>74</v>
      </c>
      <c r="BR819" t="s">
        <v>99</v>
      </c>
      <c r="BS819" t="s">
        <v>10575</v>
      </c>
      <c r="BT819" t="str">
        <f>HYPERLINK("https%3A%2F%2Fwww.webofscience.com%2Fwos%2Fwoscc%2Ffull-record%2FWOS:000079310500004","View Full Record in Web of Science")</f>
        <v>View Full Record in Web of Science</v>
      </c>
    </row>
    <row r="820" spans="1:72" x14ac:dyDescent="0.15">
      <c r="A820" t="s">
        <v>72</v>
      </c>
      <c r="B820" t="s">
        <v>10576</v>
      </c>
      <c r="C820" t="s">
        <v>74</v>
      </c>
      <c r="D820" t="s">
        <v>74</v>
      </c>
      <c r="E820" t="s">
        <v>74</v>
      </c>
      <c r="F820" t="s">
        <v>10576</v>
      </c>
      <c r="G820" t="s">
        <v>74</v>
      </c>
      <c r="H820" t="s">
        <v>74</v>
      </c>
      <c r="I820" t="s">
        <v>10577</v>
      </c>
      <c r="J820" t="s">
        <v>10578</v>
      </c>
      <c r="K820" t="s">
        <v>74</v>
      </c>
      <c r="L820" t="s">
        <v>74</v>
      </c>
      <c r="M820" t="s">
        <v>77</v>
      </c>
      <c r="N820" t="s">
        <v>78</v>
      </c>
      <c r="O820" t="s">
        <v>74</v>
      </c>
      <c r="P820" t="s">
        <v>74</v>
      </c>
      <c r="Q820" t="s">
        <v>74</v>
      </c>
      <c r="R820" t="s">
        <v>74</v>
      </c>
      <c r="S820" t="s">
        <v>74</v>
      </c>
      <c r="T820" t="s">
        <v>10579</v>
      </c>
      <c r="U820" t="s">
        <v>10580</v>
      </c>
      <c r="V820" t="s">
        <v>10581</v>
      </c>
      <c r="W820" t="s">
        <v>10582</v>
      </c>
      <c r="X820" t="s">
        <v>10583</v>
      </c>
      <c r="Y820" t="s">
        <v>2290</v>
      </c>
      <c r="Z820" t="s">
        <v>10584</v>
      </c>
      <c r="AA820" t="s">
        <v>10585</v>
      </c>
      <c r="AB820" t="s">
        <v>74</v>
      </c>
      <c r="AC820" t="s">
        <v>74</v>
      </c>
      <c r="AD820" t="s">
        <v>74</v>
      </c>
      <c r="AE820" t="s">
        <v>74</v>
      </c>
      <c r="AF820" t="s">
        <v>74</v>
      </c>
      <c r="AG820">
        <v>76</v>
      </c>
      <c r="AH820">
        <v>78</v>
      </c>
      <c r="AI820">
        <v>85</v>
      </c>
      <c r="AJ820">
        <v>0</v>
      </c>
      <c r="AK820">
        <v>18</v>
      </c>
      <c r="AL820" t="s">
        <v>3910</v>
      </c>
      <c r="AM820" t="s">
        <v>531</v>
      </c>
      <c r="AN820" t="s">
        <v>3911</v>
      </c>
      <c r="AO820" t="s">
        <v>10586</v>
      </c>
      <c r="AP820" t="s">
        <v>10587</v>
      </c>
      <c r="AQ820" t="s">
        <v>74</v>
      </c>
      <c r="AR820" t="s">
        <v>10588</v>
      </c>
      <c r="AS820" t="s">
        <v>10589</v>
      </c>
      <c r="AT820" t="s">
        <v>10590</v>
      </c>
      <c r="AU820">
        <v>1999</v>
      </c>
      <c r="AV820">
        <v>354</v>
      </c>
      <c r="AW820">
        <v>1382</v>
      </c>
      <c r="AX820" t="s">
        <v>74</v>
      </c>
      <c r="AY820" t="s">
        <v>74</v>
      </c>
      <c r="AZ820" t="s">
        <v>74</v>
      </c>
      <c r="BA820" t="s">
        <v>74</v>
      </c>
      <c r="BB820">
        <v>471</v>
      </c>
      <c r="BC820">
        <v>484</v>
      </c>
      <c r="BD820" t="s">
        <v>74</v>
      </c>
      <c r="BE820" t="s">
        <v>10591</v>
      </c>
      <c r="BF820" t="str">
        <f>HYPERLINK("http://dx.doi.org/10.1098/rstb.1999.0398","http://dx.doi.org/10.1098/rstb.1999.0398")</f>
        <v>http://dx.doi.org/10.1098/rstb.1999.0398</v>
      </c>
      <c r="BG820" t="s">
        <v>74</v>
      </c>
      <c r="BH820" t="s">
        <v>74</v>
      </c>
      <c r="BI820">
        <v>14</v>
      </c>
      <c r="BJ820" t="s">
        <v>3521</v>
      </c>
      <c r="BK820" t="s">
        <v>96</v>
      </c>
      <c r="BL820" t="s">
        <v>3522</v>
      </c>
      <c r="BM820" t="s">
        <v>10592</v>
      </c>
      <c r="BN820" t="s">
        <v>74</v>
      </c>
      <c r="BO820" t="s">
        <v>518</v>
      </c>
      <c r="BP820" t="s">
        <v>74</v>
      </c>
      <c r="BQ820" t="s">
        <v>74</v>
      </c>
      <c r="BR820" t="s">
        <v>99</v>
      </c>
      <c r="BS820" t="s">
        <v>10593</v>
      </c>
      <c r="BT820" t="str">
        <f>HYPERLINK("https%3A%2F%2Fwww.webofscience.com%2Fwos%2Fwoscc%2Ffull-record%2FWOS:000078864100004","View Full Record in Web of Science")</f>
        <v>View Full Record in Web of Science</v>
      </c>
    </row>
    <row r="821" spans="1:72" x14ac:dyDescent="0.15">
      <c r="A821" t="s">
        <v>72</v>
      </c>
      <c r="B821" t="s">
        <v>10594</v>
      </c>
      <c r="C821" t="s">
        <v>74</v>
      </c>
      <c r="D821" t="s">
        <v>74</v>
      </c>
      <c r="E821" t="s">
        <v>74</v>
      </c>
      <c r="F821" t="s">
        <v>10594</v>
      </c>
      <c r="G821" t="s">
        <v>74</v>
      </c>
      <c r="H821" t="s">
        <v>74</v>
      </c>
      <c r="I821" t="s">
        <v>10595</v>
      </c>
      <c r="J821" t="s">
        <v>221</v>
      </c>
      <c r="K821" t="s">
        <v>74</v>
      </c>
      <c r="L821" t="s">
        <v>74</v>
      </c>
      <c r="M821" t="s">
        <v>77</v>
      </c>
      <c r="N821" t="s">
        <v>78</v>
      </c>
      <c r="O821" t="s">
        <v>74</v>
      </c>
      <c r="P821" t="s">
        <v>74</v>
      </c>
      <c r="Q821" t="s">
        <v>74</v>
      </c>
      <c r="R821" t="s">
        <v>74</v>
      </c>
      <c r="S821" t="s">
        <v>74</v>
      </c>
      <c r="T821" t="s">
        <v>74</v>
      </c>
      <c r="U821" t="s">
        <v>10596</v>
      </c>
      <c r="V821" t="s">
        <v>10597</v>
      </c>
      <c r="W821" t="s">
        <v>10598</v>
      </c>
      <c r="X821" t="s">
        <v>10599</v>
      </c>
      <c r="Y821" t="s">
        <v>10600</v>
      </c>
      <c r="Z821" t="s">
        <v>10601</v>
      </c>
      <c r="AA821" t="s">
        <v>7776</v>
      </c>
      <c r="AB821" t="s">
        <v>74</v>
      </c>
      <c r="AC821" t="s">
        <v>74</v>
      </c>
      <c r="AD821" t="s">
        <v>74</v>
      </c>
      <c r="AE821" t="s">
        <v>74</v>
      </c>
      <c r="AF821" t="s">
        <v>74</v>
      </c>
      <c r="AG821">
        <v>49</v>
      </c>
      <c r="AH821">
        <v>64</v>
      </c>
      <c r="AI821">
        <v>71</v>
      </c>
      <c r="AJ821">
        <v>0</v>
      </c>
      <c r="AK821">
        <v>15</v>
      </c>
      <c r="AL821" t="s">
        <v>230</v>
      </c>
      <c r="AM821" t="s">
        <v>231</v>
      </c>
      <c r="AN821" t="s">
        <v>232</v>
      </c>
      <c r="AO821" t="s">
        <v>233</v>
      </c>
      <c r="AP821" t="s">
        <v>317</v>
      </c>
      <c r="AQ821" t="s">
        <v>74</v>
      </c>
      <c r="AR821" t="s">
        <v>234</v>
      </c>
      <c r="AS821" t="s">
        <v>235</v>
      </c>
      <c r="AT821" t="s">
        <v>10602</v>
      </c>
      <c r="AU821">
        <v>1999</v>
      </c>
      <c r="AV821">
        <v>104</v>
      </c>
      <c r="AW821" t="s">
        <v>10603</v>
      </c>
      <c r="AX821" t="s">
        <v>74</v>
      </c>
      <c r="AY821" t="s">
        <v>74</v>
      </c>
      <c r="AZ821" t="s">
        <v>74</v>
      </c>
      <c r="BA821" t="s">
        <v>74</v>
      </c>
      <c r="BB821">
        <v>3877</v>
      </c>
      <c r="BC821">
        <v>3886</v>
      </c>
      <c r="BD821" t="s">
        <v>74</v>
      </c>
      <c r="BE821" t="s">
        <v>10604</v>
      </c>
      <c r="BF821" t="str">
        <f>HYPERLINK("http://dx.doi.org/10.1029/1998JD200092","http://dx.doi.org/10.1029/1998JD200092")</f>
        <v>http://dx.doi.org/10.1029/1998JD200092</v>
      </c>
      <c r="BG821" t="s">
        <v>74</v>
      </c>
      <c r="BH821" t="s">
        <v>74</v>
      </c>
      <c r="BI821">
        <v>10</v>
      </c>
      <c r="BJ821" t="s">
        <v>95</v>
      </c>
      <c r="BK821" t="s">
        <v>96</v>
      </c>
      <c r="BL821" t="s">
        <v>95</v>
      </c>
      <c r="BM821" t="s">
        <v>10605</v>
      </c>
      <c r="BN821" t="s">
        <v>74</v>
      </c>
      <c r="BO821" t="s">
        <v>250</v>
      </c>
      <c r="BP821" t="s">
        <v>74</v>
      </c>
      <c r="BQ821" t="s">
        <v>74</v>
      </c>
      <c r="BR821" t="s">
        <v>99</v>
      </c>
      <c r="BS821" t="s">
        <v>10606</v>
      </c>
      <c r="BT821" t="str">
        <f>HYPERLINK("https%3A%2F%2Fwww.webofscience.com%2Fwos%2Fwoscc%2Ffull-record%2FWOS:000078764100002","View Full Record in Web of Science")</f>
        <v>View Full Record in Web of Science</v>
      </c>
    </row>
    <row r="822" spans="1:72" x14ac:dyDescent="0.15">
      <c r="A822" t="s">
        <v>72</v>
      </c>
      <c r="B822" t="s">
        <v>10607</v>
      </c>
      <c r="C822" t="s">
        <v>74</v>
      </c>
      <c r="D822" t="s">
        <v>74</v>
      </c>
      <c r="E822" t="s">
        <v>74</v>
      </c>
      <c r="F822" t="s">
        <v>10607</v>
      </c>
      <c r="G822" t="s">
        <v>74</v>
      </c>
      <c r="H822" t="s">
        <v>74</v>
      </c>
      <c r="I822" t="s">
        <v>10608</v>
      </c>
      <c r="J822" t="s">
        <v>221</v>
      </c>
      <c r="K822" t="s">
        <v>74</v>
      </c>
      <c r="L822" t="s">
        <v>74</v>
      </c>
      <c r="M822" t="s">
        <v>77</v>
      </c>
      <c r="N822" t="s">
        <v>78</v>
      </c>
      <c r="O822" t="s">
        <v>74</v>
      </c>
      <c r="P822" t="s">
        <v>74</v>
      </c>
      <c r="Q822" t="s">
        <v>74</v>
      </c>
      <c r="R822" t="s">
        <v>74</v>
      </c>
      <c r="S822" t="s">
        <v>74</v>
      </c>
      <c r="T822" t="s">
        <v>74</v>
      </c>
      <c r="U822" t="s">
        <v>10609</v>
      </c>
      <c r="V822" t="s">
        <v>10610</v>
      </c>
      <c r="W822" t="s">
        <v>10611</v>
      </c>
      <c r="X822" t="s">
        <v>4874</v>
      </c>
      <c r="Y822" t="s">
        <v>10612</v>
      </c>
      <c r="Z822" t="s">
        <v>10613</v>
      </c>
      <c r="AA822" t="s">
        <v>10614</v>
      </c>
      <c r="AB822" t="s">
        <v>74</v>
      </c>
      <c r="AC822" t="s">
        <v>74</v>
      </c>
      <c r="AD822" t="s">
        <v>74</v>
      </c>
      <c r="AE822" t="s">
        <v>74</v>
      </c>
      <c r="AF822" t="s">
        <v>74</v>
      </c>
      <c r="AG822">
        <v>47</v>
      </c>
      <c r="AH822">
        <v>103</v>
      </c>
      <c r="AI822">
        <v>108</v>
      </c>
      <c r="AJ822">
        <v>0</v>
      </c>
      <c r="AK822">
        <v>13</v>
      </c>
      <c r="AL822" t="s">
        <v>230</v>
      </c>
      <c r="AM822" t="s">
        <v>231</v>
      </c>
      <c r="AN822" t="s">
        <v>232</v>
      </c>
      <c r="AO822" t="s">
        <v>233</v>
      </c>
      <c r="AP822" t="s">
        <v>317</v>
      </c>
      <c r="AQ822" t="s">
        <v>74</v>
      </c>
      <c r="AR822" t="s">
        <v>234</v>
      </c>
      <c r="AS822" t="s">
        <v>235</v>
      </c>
      <c r="AT822" t="s">
        <v>10615</v>
      </c>
      <c r="AU822">
        <v>1999</v>
      </c>
      <c r="AV822">
        <v>104</v>
      </c>
      <c r="AW822" t="s">
        <v>10616</v>
      </c>
      <c r="AX822" t="s">
        <v>74</v>
      </c>
      <c r="AY822" t="s">
        <v>74</v>
      </c>
      <c r="AZ822" t="s">
        <v>74</v>
      </c>
      <c r="BA822" t="s">
        <v>74</v>
      </c>
      <c r="BB822">
        <v>3423</v>
      </c>
      <c r="BC822">
        <v>3431</v>
      </c>
      <c r="BD822" t="s">
        <v>74</v>
      </c>
      <c r="BE822" t="s">
        <v>10617</v>
      </c>
      <c r="BF822" t="str">
        <f>HYPERLINK("http://dx.doi.org/10.1029/98JD02855","http://dx.doi.org/10.1029/98JD02855")</f>
        <v>http://dx.doi.org/10.1029/98JD02855</v>
      </c>
      <c r="BG822" t="s">
        <v>74</v>
      </c>
      <c r="BH822" t="s">
        <v>74</v>
      </c>
      <c r="BI822">
        <v>9</v>
      </c>
      <c r="BJ822" t="s">
        <v>95</v>
      </c>
      <c r="BK822" t="s">
        <v>96</v>
      </c>
      <c r="BL822" t="s">
        <v>95</v>
      </c>
      <c r="BM822" t="s">
        <v>10618</v>
      </c>
      <c r="BN822" t="s">
        <v>74</v>
      </c>
      <c r="BO822" t="s">
        <v>250</v>
      </c>
      <c r="BP822" t="s">
        <v>74</v>
      </c>
      <c r="BQ822" t="s">
        <v>74</v>
      </c>
      <c r="BR822" t="s">
        <v>99</v>
      </c>
      <c r="BS822" t="s">
        <v>10619</v>
      </c>
      <c r="BT822" t="str">
        <f>HYPERLINK("https%3A%2F%2Fwww.webofscience.com%2Fwos%2Fwoscc%2Ffull-record%2FWOS:000078706600001","View Full Record in Web of Science")</f>
        <v>View Full Record in Web of Science</v>
      </c>
    </row>
    <row r="823" spans="1:72" x14ac:dyDescent="0.15">
      <c r="A823" t="s">
        <v>72</v>
      </c>
      <c r="B823" t="s">
        <v>10620</v>
      </c>
      <c r="C823" t="s">
        <v>74</v>
      </c>
      <c r="D823" t="s">
        <v>74</v>
      </c>
      <c r="E823" t="s">
        <v>74</v>
      </c>
      <c r="F823" t="s">
        <v>10620</v>
      </c>
      <c r="G823" t="s">
        <v>74</v>
      </c>
      <c r="H823" t="s">
        <v>74</v>
      </c>
      <c r="I823" t="s">
        <v>10621</v>
      </c>
      <c r="J823" t="s">
        <v>221</v>
      </c>
      <c r="K823" t="s">
        <v>74</v>
      </c>
      <c r="L823" t="s">
        <v>74</v>
      </c>
      <c r="M823" t="s">
        <v>77</v>
      </c>
      <c r="N823" t="s">
        <v>78</v>
      </c>
      <c r="O823" t="s">
        <v>74</v>
      </c>
      <c r="P823" t="s">
        <v>74</v>
      </c>
      <c r="Q823" t="s">
        <v>74</v>
      </c>
      <c r="R823" t="s">
        <v>74</v>
      </c>
      <c r="S823" t="s">
        <v>74</v>
      </c>
      <c r="T823" t="s">
        <v>74</v>
      </c>
      <c r="U823" t="s">
        <v>10622</v>
      </c>
      <c r="V823" t="s">
        <v>10623</v>
      </c>
      <c r="W823" t="s">
        <v>10624</v>
      </c>
      <c r="X823" t="s">
        <v>10625</v>
      </c>
      <c r="Y823" t="s">
        <v>10626</v>
      </c>
      <c r="Z823" t="s">
        <v>10627</v>
      </c>
      <c r="AA823" t="s">
        <v>10628</v>
      </c>
      <c r="AB823" t="s">
        <v>10629</v>
      </c>
      <c r="AC823" t="s">
        <v>74</v>
      </c>
      <c r="AD823" t="s">
        <v>74</v>
      </c>
      <c r="AE823" t="s">
        <v>74</v>
      </c>
      <c r="AF823" t="s">
        <v>74</v>
      </c>
      <c r="AG823">
        <v>64</v>
      </c>
      <c r="AH823">
        <v>16</v>
      </c>
      <c r="AI823">
        <v>16</v>
      </c>
      <c r="AJ823">
        <v>0</v>
      </c>
      <c r="AK823">
        <v>2</v>
      </c>
      <c r="AL823" t="s">
        <v>230</v>
      </c>
      <c r="AM823" t="s">
        <v>231</v>
      </c>
      <c r="AN823" t="s">
        <v>232</v>
      </c>
      <c r="AO823" t="s">
        <v>233</v>
      </c>
      <c r="AP823" t="s">
        <v>74</v>
      </c>
      <c r="AQ823" t="s">
        <v>74</v>
      </c>
      <c r="AR823" t="s">
        <v>234</v>
      </c>
      <c r="AS823" t="s">
        <v>235</v>
      </c>
      <c r="AT823" t="s">
        <v>10615</v>
      </c>
      <c r="AU823">
        <v>1999</v>
      </c>
      <c r="AV823">
        <v>104</v>
      </c>
      <c r="AW823" t="s">
        <v>10616</v>
      </c>
      <c r="AX823" t="s">
        <v>74</v>
      </c>
      <c r="AY823" t="s">
        <v>74</v>
      </c>
      <c r="AZ823" t="s">
        <v>74</v>
      </c>
      <c r="BA823" t="s">
        <v>74</v>
      </c>
      <c r="BB823">
        <v>3669</v>
      </c>
      <c r="BC823">
        <v>3689</v>
      </c>
      <c r="BD823" t="s">
        <v>74</v>
      </c>
      <c r="BE823" t="s">
        <v>10630</v>
      </c>
      <c r="BF823" t="str">
        <f>HYPERLINK("http://dx.doi.org/10.1029/1998JD100037","http://dx.doi.org/10.1029/1998JD100037")</f>
        <v>http://dx.doi.org/10.1029/1998JD100037</v>
      </c>
      <c r="BG823" t="s">
        <v>74</v>
      </c>
      <c r="BH823" t="s">
        <v>74</v>
      </c>
      <c r="BI823">
        <v>21</v>
      </c>
      <c r="BJ823" t="s">
        <v>95</v>
      </c>
      <c r="BK823" t="s">
        <v>96</v>
      </c>
      <c r="BL823" t="s">
        <v>95</v>
      </c>
      <c r="BM823" t="s">
        <v>10618</v>
      </c>
      <c r="BN823" t="s">
        <v>74</v>
      </c>
      <c r="BO823" t="s">
        <v>250</v>
      </c>
      <c r="BP823" t="s">
        <v>74</v>
      </c>
      <c r="BQ823" t="s">
        <v>74</v>
      </c>
      <c r="BR823" t="s">
        <v>99</v>
      </c>
      <c r="BS823" t="s">
        <v>10631</v>
      </c>
      <c r="BT823" t="str">
        <f>HYPERLINK("https%3A%2F%2Fwww.webofscience.com%2Fwos%2Fwoscc%2Ffull-record%2FWOS:000078706600018","View Full Record in Web of Science")</f>
        <v>View Full Record in Web of Science</v>
      </c>
    </row>
    <row r="824" spans="1:72" x14ac:dyDescent="0.15">
      <c r="A824" t="s">
        <v>72</v>
      </c>
      <c r="B824" t="s">
        <v>10632</v>
      </c>
      <c r="C824" t="s">
        <v>74</v>
      </c>
      <c r="D824" t="s">
        <v>74</v>
      </c>
      <c r="E824" t="s">
        <v>74</v>
      </c>
      <c r="F824" t="s">
        <v>10632</v>
      </c>
      <c r="G824" t="s">
        <v>74</v>
      </c>
      <c r="H824" t="s">
        <v>74</v>
      </c>
      <c r="I824" t="s">
        <v>10633</v>
      </c>
      <c r="J824" t="s">
        <v>221</v>
      </c>
      <c r="K824" t="s">
        <v>74</v>
      </c>
      <c r="L824" t="s">
        <v>74</v>
      </c>
      <c r="M824" t="s">
        <v>77</v>
      </c>
      <c r="N824" t="s">
        <v>78</v>
      </c>
      <c r="O824" t="s">
        <v>74</v>
      </c>
      <c r="P824" t="s">
        <v>74</v>
      </c>
      <c r="Q824" t="s">
        <v>74</v>
      </c>
      <c r="R824" t="s">
        <v>74</v>
      </c>
      <c r="S824" t="s">
        <v>74</v>
      </c>
      <c r="T824" t="s">
        <v>74</v>
      </c>
      <c r="U824" t="s">
        <v>10634</v>
      </c>
      <c r="V824" t="s">
        <v>10635</v>
      </c>
      <c r="W824" t="s">
        <v>10636</v>
      </c>
      <c r="X824" t="s">
        <v>10637</v>
      </c>
      <c r="Y824" t="s">
        <v>10638</v>
      </c>
      <c r="Z824" t="s">
        <v>10639</v>
      </c>
      <c r="AA824" t="s">
        <v>10640</v>
      </c>
      <c r="AB824" t="s">
        <v>10641</v>
      </c>
      <c r="AC824" t="s">
        <v>74</v>
      </c>
      <c r="AD824" t="s">
        <v>74</v>
      </c>
      <c r="AE824" t="s">
        <v>74</v>
      </c>
      <c r="AF824" t="s">
        <v>74</v>
      </c>
      <c r="AG824">
        <v>71</v>
      </c>
      <c r="AH824">
        <v>26</v>
      </c>
      <c r="AI824">
        <v>26</v>
      </c>
      <c r="AJ824">
        <v>0</v>
      </c>
      <c r="AK824">
        <v>0</v>
      </c>
      <c r="AL824" t="s">
        <v>230</v>
      </c>
      <c r="AM824" t="s">
        <v>231</v>
      </c>
      <c r="AN824" t="s">
        <v>232</v>
      </c>
      <c r="AO824" t="s">
        <v>233</v>
      </c>
      <c r="AP824" t="s">
        <v>317</v>
      </c>
      <c r="AQ824" t="s">
        <v>74</v>
      </c>
      <c r="AR824" t="s">
        <v>234</v>
      </c>
      <c r="AS824" t="s">
        <v>235</v>
      </c>
      <c r="AT824" t="s">
        <v>10615</v>
      </c>
      <c r="AU824">
        <v>1999</v>
      </c>
      <c r="AV824">
        <v>104</v>
      </c>
      <c r="AW824" t="s">
        <v>10616</v>
      </c>
      <c r="AX824" t="s">
        <v>74</v>
      </c>
      <c r="AY824" t="s">
        <v>74</v>
      </c>
      <c r="AZ824" t="s">
        <v>74</v>
      </c>
      <c r="BA824" t="s">
        <v>74</v>
      </c>
      <c r="BB824">
        <v>3755</v>
      </c>
      <c r="BC824">
        <v>3772</v>
      </c>
      <c r="BD824" t="s">
        <v>74</v>
      </c>
      <c r="BE824" t="s">
        <v>10642</v>
      </c>
      <c r="BF824" t="str">
        <f>HYPERLINK("http://dx.doi.org/10.1029/1998JD100062","http://dx.doi.org/10.1029/1998JD100062")</f>
        <v>http://dx.doi.org/10.1029/1998JD100062</v>
      </c>
      <c r="BG824" t="s">
        <v>74</v>
      </c>
      <c r="BH824" t="s">
        <v>74</v>
      </c>
      <c r="BI824">
        <v>18</v>
      </c>
      <c r="BJ824" t="s">
        <v>95</v>
      </c>
      <c r="BK824" t="s">
        <v>96</v>
      </c>
      <c r="BL824" t="s">
        <v>95</v>
      </c>
      <c r="BM824" t="s">
        <v>10618</v>
      </c>
      <c r="BN824" t="s">
        <v>74</v>
      </c>
      <c r="BO824" t="s">
        <v>74</v>
      </c>
      <c r="BP824" t="s">
        <v>74</v>
      </c>
      <c r="BQ824" t="s">
        <v>74</v>
      </c>
      <c r="BR824" t="s">
        <v>99</v>
      </c>
      <c r="BS824" t="s">
        <v>10643</v>
      </c>
      <c r="BT824" t="str">
        <f>HYPERLINK("https%3A%2F%2Fwww.webofscience.com%2Fwos%2Fwoscc%2Ffull-record%2FWOS:000078706600023","View Full Record in Web of Science")</f>
        <v>View Full Record in Web of Science</v>
      </c>
    </row>
    <row r="825" spans="1:72" x14ac:dyDescent="0.15">
      <c r="A825" t="s">
        <v>72</v>
      </c>
      <c r="B825" t="s">
        <v>10644</v>
      </c>
      <c r="C825" t="s">
        <v>74</v>
      </c>
      <c r="D825" t="s">
        <v>74</v>
      </c>
      <c r="E825" t="s">
        <v>74</v>
      </c>
      <c r="F825" t="s">
        <v>10644</v>
      </c>
      <c r="G825" t="s">
        <v>74</v>
      </c>
      <c r="H825" t="s">
        <v>74</v>
      </c>
      <c r="I825" t="s">
        <v>10645</v>
      </c>
      <c r="J825" t="s">
        <v>378</v>
      </c>
      <c r="K825" t="s">
        <v>74</v>
      </c>
      <c r="L825" t="s">
        <v>74</v>
      </c>
      <c r="M825" t="s">
        <v>77</v>
      </c>
      <c r="N825" t="s">
        <v>78</v>
      </c>
      <c r="O825" t="s">
        <v>74</v>
      </c>
      <c r="P825" t="s">
        <v>74</v>
      </c>
      <c r="Q825" t="s">
        <v>74</v>
      </c>
      <c r="R825" t="s">
        <v>74</v>
      </c>
      <c r="S825" t="s">
        <v>74</v>
      </c>
      <c r="T825" t="s">
        <v>74</v>
      </c>
      <c r="U825" t="s">
        <v>10646</v>
      </c>
      <c r="V825" t="s">
        <v>10647</v>
      </c>
      <c r="W825" t="s">
        <v>10648</v>
      </c>
      <c r="X825" t="s">
        <v>451</v>
      </c>
      <c r="Y825" t="s">
        <v>10649</v>
      </c>
      <c r="Z825" t="s">
        <v>74</v>
      </c>
      <c r="AA825" t="s">
        <v>74</v>
      </c>
      <c r="AB825" t="s">
        <v>74</v>
      </c>
      <c r="AC825" t="s">
        <v>74</v>
      </c>
      <c r="AD825" t="s">
        <v>74</v>
      </c>
      <c r="AE825" t="s">
        <v>74</v>
      </c>
      <c r="AF825" t="s">
        <v>74</v>
      </c>
      <c r="AG825">
        <v>23</v>
      </c>
      <c r="AH825">
        <v>753</v>
      </c>
      <c r="AI825">
        <v>859</v>
      </c>
      <c r="AJ825">
        <v>3</v>
      </c>
      <c r="AK825">
        <v>169</v>
      </c>
      <c r="AL825" t="s">
        <v>230</v>
      </c>
      <c r="AM825" t="s">
        <v>231</v>
      </c>
      <c r="AN825" t="s">
        <v>232</v>
      </c>
      <c r="AO825" t="s">
        <v>382</v>
      </c>
      <c r="AP825" t="s">
        <v>74</v>
      </c>
      <c r="AQ825" t="s">
        <v>74</v>
      </c>
      <c r="AR825" t="s">
        <v>383</v>
      </c>
      <c r="AS825" t="s">
        <v>384</v>
      </c>
      <c r="AT825" t="s">
        <v>10650</v>
      </c>
      <c r="AU825">
        <v>1999</v>
      </c>
      <c r="AV825">
        <v>26</v>
      </c>
      <c r="AW825">
        <v>4</v>
      </c>
      <c r="AX825" t="s">
        <v>74</v>
      </c>
      <c r="AY825" t="s">
        <v>74</v>
      </c>
      <c r="AZ825" t="s">
        <v>74</v>
      </c>
      <c r="BA825" t="s">
        <v>74</v>
      </c>
      <c r="BB825">
        <v>459</v>
      </c>
      <c r="BC825">
        <v>462</v>
      </c>
      <c r="BD825" t="s">
        <v>74</v>
      </c>
      <c r="BE825" t="s">
        <v>10651</v>
      </c>
      <c r="BF825" t="str">
        <f>HYPERLINK("http://dx.doi.org/10.1029/1999GL900003","http://dx.doi.org/10.1029/1999GL900003")</f>
        <v>http://dx.doi.org/10.1029/1999GL900003</v>
      </c>
      <c r="BG825" t="s">
        <v>74</v>
      </c>
      <c r="BH825" t="s">
        <v>74</v>
      </c>
      <c r="BI825">
        <v>4</v>
      </c>
      <c r="BJ825" t="s">
        <v>387</v>
      </c>
      <c r="BK825" t="s">
        <v>96</v>
      </c>
      <c r="BL825" t="s">
        <v>388</v>
      </c>
      <c r="BM825" t="s">
        <v>10652</v>
      </c>
      <c r="BN825" t="s">
        <v>74</v>
      </c>
      <c r="BO825" t="s">
        <v>250</v>
      </c>
      <c r="BP825" t="s">
        <v>74</v>
      </c>
      <c r="BQ825" t="s">
        <v>74</v>
      </c>
      <c r="BR825" t="s">
        <v>99</v>
      </c>
      <c r="BS825" t="s">
        <v>10653</v>
      </c>
      <c r="BT825" t="str">
        <f>HYPERLINK("https%3A%2F%2Fwww.webofscience.com%2Fwos%2Fwoscc%2Ffull-record%2FWOS:000078620400007","View Full Record in Web of Science")</f>
        <v>View Full Record in Web of Science</v>
      </c>
    </row>
    <row r="826" spans="1:72" x14ac:dyDescent="0.15">
      <c r="A826" t="s">
        <v>72</v>
      </c>
      <c r="B826" t="s">
        <v>10654</v>
      </c>
      <c r="C826" t="s">
        <v>74</v>
      </c>
      <c r="D826" t="s">
        <v>74</v>
      </c>
      <c r="E826" t="s">
        <v>74</v>
      </c>
      <c r="F826" t="s">
        <v>10654</v>
      </c>
      <c r="G826" t="s">
        <v>74</v>
      </c>
      <c r="H826" t="s">
        <v>74</v>
      </c>
      <c r="I826" t="s">
        <v>10655</v>
      </c>
      <c r="J826" t="s">
        <v>378</v>
      </c>
      <c r="K826" t="s">
        <v>74</v>
      </c>
      <c r="L826" t="s">
        <v>74</v>
      </c>
      <c r="M826" t="s">
        <v>77</v>
      </c>
      <c r="N826" t="s">
        <v>78</v>
      </c>
      <c r="O826" t="s">
        <v>74</v>
      </c>
      <c r="P826" t="s">
        <v>74</v>
      </c>
      <c r="Q826" t="s">
        <v>74</v>
      </c>
      <c r="R826" t="s">
        <v>74</v>
      </c>
      <c r="S826" t="s">
        <v>74</v>
      </c>
      <c r="T826" t="s">
        <v>74</v>
      </c>
      <c r="U826" t="s">
        <v>10656</v>
      </c>
      <c r="V826" t="s">
        <v>10657</v>
      </c>
      <c r="W826" t="s">
        <v>10658</v>
      </c>
      <c r="X826" t="s">
        <v>10659</v>
      </c>
      <c r="Y826" t="s">
        <v>10660</v>
      </c>
      <c r="Z826" t="s">
        <v>74</v>
      </c>
      <c r="AA826" t="s">
        <v>10661</v>
      </c>
      <c r="AB826" t="s">
        <v>10662</v>
      </c>
      <c r="AC826" t="s">
        <v>74</v>
      </c>
      <c r="AD826" t="s">
        <v>74</v>
      </c>
      <c r="AE826" t="s">
        <v>74</v>
      </c>
      <c r="AF826" t="s">
        <v>74</v>
      </c>
      <c r="AG826">
        <v>13</v>
      </c>
      <c r="AH826">
        <v>3</v>
      </c>
      <c r="AI826">
        <v>3</v>
      </c>
      <c r="AJ826">
        <v>0</v>
      </c>
      <c r="AK826">
        <v>1</v>
      </c>
      <c r="AL826" t="s">
        <v>230</v>
      </c>
      <c r="AM826" t="s">
        <v>231</v>
      </c>
      <c r="AN826" t="s">
        <v>232</v>
      </c>
      <c r="AO826" t="s">
        <v>382</v>
      </c>
      <c r="AP826" t="s">
        <v>74</v>
      </c>
      <c r="AQ826" t="s">
        <v>74</v>
      </c>
      <c r="AR826" t="s">
        <v>383</v>
      </c>
      <c r="AS826" t="s">
        <v>384</v>
      </c>
      <c r="AT826" t="s">
        <v>10650</v>
      </c>
      <c r="AU826">
        <v>1999</v>
      </c>
      <c r="AV826">
        <v>26</v>
      </c>
      <c r="AW826">
        <v>4</v>
      </c>
      <c r="AX826" t="s">
        <v>74</v>
      </c>
      <c r="AY826" t="s">
        <v>74</v>
      </c>
      <c r="AZ826" t="s">
        <v>74</v>
      </c>
      <c r="BA826" t="s">
        <v>74</v>
      </c>
      <c r="BB826">
        <v>463</v>
      </c>
      <c r="BC826">
        <v>466</v>
      </c>
      <c r="BD826" t="s">
        <v>74</v>
      </c>
      <c r="BE826" t="s">
        <v>10663</v>
      </c>
      <c r="BF826" t="str">
        <f>HYPERLINK("http://dx.doi.org/10.1029/1999GL900018","http://dx.doi.org/10.1029/1999GL900018")</f>
        <v>http://dx.doi.org/10.1029/1999GL900018</v>
      </c>
      <c r="BG826" t="s">
        <v>74</v>
      </c>
      <c r="BH826" t="s">
        <v>74</v>
      </c>
      <c r="BI826">
        <v>4</v>
      </c>
      <c r="BJ826" t="s">
        <v>387</v>
      </c>
      <c r="BK826" t="s">
        <v>96</v>
      </c>
      <c r="BL826" t="s">
        <v>388</v>
      </c>
      <c r="BM826" t="s">
        <v>10652</v>
      </c>
      <c r="BN826" t="s">
        <v>74</v>
      </c>
      <c r="BO826" t="s">
        <v>250</v>
      </c>
      <c r="BP826" t="s">
        <v>74</v>
      </c>
      <c r="BQ826" t="s">
        <v>74</v>
      </c>
      <c r="BR826" t="s">
        <v>99</v>
      </c>
      <c r="BS826" t="s">
        <v>10664</v>
      </c>
      <c r="BT826" t="str">
        <f>HYPERLINK("https%3A%2F%2Fwww.webofscience.com%2Fwos%2Fwoscc%2Ffull-record%2FWOS:000078620400008","View Full Record in Web of Science")</f>
        <v>View Full Record in Web of Science</v>
      </c>
    </row>
    <row r="827" spans="1:72" x14ac:dyDescent="0.15">
      <c r="A827" t="s">
        <v>72</v>
      </c>
      <c r="B827" t="s">
        <v>10665</v>
      </c>
      <c r="C827" t="s">
        <v>74</v>
      </c>
      <c r="D827" t="s">
        <v>74</v>
      </c>
      <c r="E827" t="s">
        <v>74</v>
      </c>
      <c r="F827" t="s">
        <v>10665</v>
      </c>
      <c r="G827" t="s">
        <v>74</v>
      </c>
      <c r="H827" t="s">
        <v>74</v>
      </c>
      <c r="I827" t="s">
        <v>10666</v>
      </c>
      <c r="J827" t="s">
        <v>378</v>
      </c>
      <c r="K827" t="s">
        <v>74</v>
      </c>
      <c r="L827" t="s">
        <v>74</v>
      </c>
      <c r="M827" t="s">
        <v>77</v>
      </c>
      <c r="N827" t="s">
        <v>78</v>
      </c>
      <c r="O827" t="s">
        <v>74</v>
      </c>
      <c r="P827" t="s">
        <v>74</v>
      </c>
      <c r="Q827" t="s">
        <v>74</v>
      </c>
      <c r="R827" t="s">
        <v>74</v>
      </c>
      <c r="S827" t="s">
        <v>74</v>
      </c>
      <c r="T827" t="s">
        <v>74</v>
      </c>
      <c r="U827" t="s">
        <v>10667</v>
      </c>
      <c r="V827" t="s">
        <v>10668</v>
      </c>
      <c r="W827" t="s">
        <v>10669</v>
      </c>
      <c r="X827" t="s">
        <v>10670</v>
      </c>
      <c r="Y827" t="s">
        <v>10671</v>
      </c>
      <c r="Z827" t="s">
        <v>74</v>
      </c>
      <c r="AA827" t="s">
        <v>74</v>
      </c>
      <c r="AB827" t="s">
        <v>10672</v>
      </c>
      <c r="AC827" t="s">
        <v>74</v>
      </c>
      <c r="AD827" t="s">
        <v>74</v>
      </c>
      <c r="AE827" t="s">
        <v>74</v>
      </c>
      <c r="AF827" t="s">
        <v>74</v>
      </c>
      <c r="AG827">
        <v>11</v>
      </c>
      <c r="AH827">
        <v>6</v>
      </c>
      <c r="AI827">
        <v>6</v>
      </c>
      <c r="AJ827">
        <v>0</v>
      </c>
      <c r="AK827">
        <v>1</v>
      </c>
      <c r="AL827" t="s">
        <v>230</v>
      </c>
      <c r="AM827" t="s">
        <v>231</v>
      </c>
      <c r="AN827" t="s">
        <v>232</v>
      </c>
      <c r="AO827" t="s">
        <v>382</v>
      </c>
      <c r="AP827" t="s">
        <v>74</v>
      </c>
      <c r="AQ827" t="s">
        <v>74</v>
      </c>
      <c r="AR827" t="s">
        <v>383</v>
      </c>
      <c r="AS827" t="s">
        <v>384</v>
      </c>
      <c r="AT827" t="s">
        <v>10650</v>
      </c>
      <c r="AU827">
        <v>1999</v>
      </c>
      <c r="AV827">
        <v>26</v>
      </c>
      <c r="AW827">
        <v>4</v>
      </c>
      <c r="AX827" t="s">
        <v>74</v>
      </c>
      <c r="AY827" t="s">
        <v>74</v>
      </c>
      <c r="AZ827" t="s">
        <v>74</v>
      </c>
      <c r="BA827" t="s">
        <v>74</v>
      </c>
      <c r="BB827">
        <v>517</v>
      </c>
      <c r="BC827">
        <v>520</v>
      </c>
      <c r="BD827" t="s">
        <v>74</v>
      </c>
      <c r="BE827" t="s">
        <v>10673</v>
      </c>
      <c r="BF827" t="str">
        <f>HYPERLINK("http://dx.doi.org/10.1029/1999GL900017","http://dx.doi.org/10.1029/1999GL900017")</f>
        <v>http://dx.doi.org/10.1029/1999GL900017</v>
      </c>
      <c r="BG827" t="s">
        <v>74</v>
      </c>
      <c r="BH827" t="s">
        <v>74</v>
      </c>
      <c r="BI827">
        <v>4</v>
      </c>
      <c r="BJ827" t="s">
        <v>387</v>
      </c>
      <c r="BK827" t="s">
        <v>96</v>
      </c>
      <c r="BL827" t="s">
        <v>388</v>
      </c>
      <c r="BM827" t="s">
        <v>10652</v>
      </c>
      <c r="BN827" t="s">
        <v>74</v>
      </c>
      <c r="BO827" t="s">
        <v>250</v>
      </c>
      <c r="BP827" t="s">
        <v>74</v>
      </c>
      <c r="BQ827" t="s">
        <v>74</v>
      </c>
      <c r="BR827" t="s">
        <v>99</v>
      </c>
      <c r="BS827" t="s">
        <v>10674</v>
      </c>
      <c r="BT827" t="str">
        <f>HYPERLINK("https%3A%2F%2Fwww.webofscience.com%2Fwos%2Fwoscc%2Ffull-record%2FWOS:000078620400023","View Full Record in Web of Science")</f>
        <v>View Full Record in Web of Science</v>
      </c>
    </row>
    <row r="828" spans="1:72" x14ac:dyDescent="0.15">
      <c r="A828" t="s">
        <v>72</v>
      </c>
      <c r="B828" t="s">
        <v>10675</v>
      </c>
      <c r="C828" t="s">
        <v>74</v>
      </c>
      <c r="D828" t="s">
        <v>74</v>
      </c>
      <c r="E828" t="s">
        <v>74</v>
      </c>
      <c r="F828" t="s">
        <v>10675</v>
      </c>
      <c r="G828" t="s">
        <v>74</v>
      </c>
      <c r="H828" t="s">
        <v>74</v>
      </c>
      <c r="I828" t="s">
        <v>10676</v>
      </c>
      <c r="J828" t="s">
        <v>403</v>
      </c>
      <c r="K828" t="s">
        <v>74</v>
      </c>
      <c r="L828" t="s">
        <v>74</v>
      </c>
      <c r="M828" t="s">
        <v>77</v>
      </c>
      <c r="N828" t="s">
        <v>78</v>
      </c>
      <c r="O828" t="s">
        <v>74</v>
      </c>
      <c r="P828" t="s">
        <v>74</v>
      </c>
      <c r="Q828" t="s">
        <v>74</v>
      </c>
      <c r="R828" t="s">
        <v>74</v>
      </c>
      <c r="S828" t="s">
        <v>74</v>
      </c>
      <c r="T828" t="s">
        <v>74</v>
      </c>
      <c r="U828" t="s">
        <v>10677</v>
      </c>
      <c r="V828" t="s">
        <v>10678</v>
      </c>
      <c r="W828" t="s">
        <v>10679</v>
      </c>
      <c r="X828" t="s">
        <v>10680</v>
      </c>
      <c r="Y828" t="s">
        <v>10681</v>
      </c>
      <c r="Z828" t="s">
        <v>10682</v>
      </c>
      <c r="AA828" t="s">
        <v>10683</v>
      </c>
      <c r="AB828" t="s">
        <v>74</v>
      </c>
      <c r="AC828" t="s">
        <v>74</v>
      </c>
      <c r="AD828" t="s">
        <v>74</v>
      </c>
      <c r="AE828" t="s">
        <v>74</v>
      </c>
      <c r="AF828" t="s">
        <v>74</v>
      </c>
      <c r="AG828">
        <v>69</v>
      </c>
      <c r="AH828">
        <v>333</v>
      </c>
      <c r="AI828">
        <v>368</v>
      </c>
      <c r="AJ828">
        <v>2</v>
      </c>
      <c r="AK828">
        <v>30</v>
      </c>
      <c r="AL828" t="s">
        <v>230</v>
      </c>
      <c r="AM828" t="s">
        <v>231</v>
      </c>
      <c r="AN828" t="s">
        <v>232</v>
      </c>
      <c r="AO828" t="s">
        <v>410</v>
      </c>
      <c r="AP828" t="s">
        <v>411</v>
      </c>
      <c r="AQ828" t="s">
        <v>74</v>
      </c>
      <c r="AR828" t="s">
        <v>412</v>
      </c>
      <c r="AS828" t="s">
        <v>413</v>
      </c>
      <c r="AT828" t="s">
        <v>10650</v>
      </c>
      <c r="AU828">
        <v>1999</v>
      </c>
      <c r="AV828">
        <v>104</v>
      </c>
      <c r="AW828" t="s">
        <v>10684</v>
      </c>
      <c r="AX828" t="s">
        <v>74</v>
      </c>
      <c r="AY828" t="s">
        <v>74</v>
      </c>
      <c r="AZ828" t="s">
        <v>74</v>
      </c>
      <c r="BA828" t="s">
        <v>74</v>
      </c>
      <c r="BB828">
        <v>3059</v>
      </c>
      <c r="BC828">
        <v>3073</v>
      </c>
      <c r="BD828" t="s">
        <v>74</v>
      </c>
      <c r="BE828" t="s">
        <v>10685</v>
      </c>
      <c r="BF828" t="str">
        <f>HYPERLINK("http://dx.doi.org/10.1029/1998JC900032","http://dx.doi.org/10.1029/1998JC900032")</f>
        <v>http://dx.doi.org/10.1029/1998JC900032</v>
      </c>
      <c r="BG828" t="s">
        <v>74</v>
      </c>
      <c r="BH828" t="s">
        <v>74</v>
      </c>
      <c r="BI828">
        <v>15</v>
      </c>
      <c r="BJ828" t="s">
        <v>416</v>
      </c>
      <c r="BK828" t="s">
        <v>96</v>
      </c>
      <c r="BL828" t="s">
        <v>416</v>
      </c>
      <c r="BM828" t="s">
        <v>10686</v>
      </c>
      <c r="BN828" t="s">
        <v>74</v>
      </c>
      <c r="BO828" t="s">
        <v>1584</v>
      </c>
      <c r="BP828" t="s">
        <v>74</v>
      </c>
      <c r="BQ828" t="s">
        <v>74</v>
      </c>
      <c r="BR828" t="s">
        <v>99</v>
      </c>
      <c r="BS828" t="s">
        <v>10687</v>
      </c>
      <c r="BT828" t="str">
        <f>HYPERLINK("https%3A%2F%2Fwww.webofscience.com%2Fwos%2Fwoscc%2Ffull-record%2FWOS:000078595300003","View Full Record in Web of Science")</f>
        <v>View Full Record in Web of Science</v>
      </c>
    </row>
    <row r="829" spans="1:72" x14ac:dyDescent="0.15">
      <c r="A829" t="s">
        <v>72</v>
      </c>
      <c r="B829" t="s">
        <v>10688</v>
      </c>
      <c r="C829" t="s">
        <v>74</v>
      </c>
      <c r="D829" t="s">
        <v>74</v>
      </c>
      <c r="E829" t="s">
        <v>74</v>
      </c>
      <c r="F829" t="s">
        <v>10688</v>
      </c>
      <c r="G829" t="s">
        <v>74</v>
      </c>
      <c r="H829" t="s">
        <v>74</v>
      </c>
      <c r="I829" t="s">
        <v>10689</v>
      </c>
      <c r="J829" t="s">
        <v>1794</v>
      </c>
      <c r="K829" t="s">
        <v>74</v>
      </c>
      <c r="L829" t="s">
        <v>74</v>
      </c>
      <c r="M829" t="s">
        <v>77</v>
      </c>
      <c r="N829" t="s">
        <v>78</v>
      </c>
      <c r="O829" t="s">
        <v>74</v>
      </c>
      <c r="P829" t="s">
        <v>74</v>
      </c>
      <c r="Q829" t="s">
        <v>74</v>
      </c>
      <c r="R829" t="s">
        <v>74</v>
      </c>
      <c r="S829" t="s">
        <v>74</v>
      </c>
      <c r="T829" t="s">
        <v>74</v>
      </c>
      <c r="U829" t="s">
        <v>10690</v>
      </c>
      <c r="V829" t="s">
        <v>10691</v>
      </c>
      <c r="W829" t="s">
        <v>10692</v>
      </c>
      <c r="X829" t="s">
        <v>10693</v>
      </c>
      <c r="Y829" t="s">
        <v>10694</v>
      </c>
      <c r="Z829" t="s">
        <v>10695</v>
      </c>
      <c r="AA829" t="s">
        <v>10696</v>
      </c>
      <c r="AB829" t="s">
        <v>10697</v>
      </c>
      <c r="AC829" t="s">
        <v>74</v>
      </c>
      <c r="AD829" t="s">
        <v>74</v>
      </c>
      <c r="AE829" t="s">
        <v>74</v>
      </c>
      <c r="AF829" t="s">
        <v>74</v>
      </c>
      <c r="AG829">
        <v>36</v>
      </c>
      <c r="AH829">
        <v>257</v>
      </c>
      <c r="AI829">
        <v>290</v>
      </c>
      <c r="AJ829">
        <v>2</v>
      </c>
      <c r="AK829">
        <v>67</v>
      </c>
      <c r="AL829" t="s">
        <v>1802</v>
      </c>
      <c r="AM829" t="s">
        <v>231</v>
      </c>
      <c r="AN829" t="s">
        <v>1803</v>
      </c>
      <c r="AO829" t="s">
        <v>1804</v>
      </c>
      <c r="AP829" t="s">
        <v>74</v>
      </c>
      <c r="AQ829" t="s">
        <v>74</v>
      </c>
      <c r="AR829" t="s">
        <v>1794</v>
      </c>
      <c r="AS829" t="s">
        <v>1805</v>
      </c>
      <c r="AT829" t="s">
        <v>10698</v>
      </c>
      <c r="AU829">
        <v>1999</v>
      </c>
      <c r="AV829">
        <v>283</v>
      </c>
      <c r="AW829">
        <v>5404</v>
      </c>
      <c r="AX829" t="s">
        <v>74</v>
      </c>
      <c r="AY829" t="s">
        <v>74</v>
      </c>
      <c r="AZ829" t="s">
        <v>74</v>
      </c>
      <c r="BA829" t="s">
        <v>74</v>
      </c>
      <c r="BB829">
        <v>993</v>
      </c>
      <c r="BC829">
        <v>996</v>
      </c>
      <c r="BD829" t="s">
        <v>74</v>
      </c>
      <c r="BE829" t="s">
        <v>10699</v>
      </c>
      <c r="BF829" t="str">
        <f>HYPERLINK("http://dx.doi.org/10.1126/science.283.5404.993","http://dx.doi.org/10.1126/science.283.5404.993")</f>
        <v>http://dx.doi.org/10.1126/science.283.5404.993</v>
      </c>
      <c r="BG829" t="s">
        <v>74</v>
      </c>
      <c r="BH829" t="s">
        <v>74</v>
      </c>
      <c r="BI829">
        <v>4</v>
      </c>
      <c r="BJ829" t="s">
        <v>303</v>
      </c>
      <c r="BK829" t="s">
        <v>96</v>
      </c>
      <c r="BL829" t="s">
        <v>304</v>
      </c>
      <c r="BM829" t="s">
        <v>10700</v>
      </c>
      <c r="BN829">
        <v>9974394</v>
      </c>
      <c r="BO829" t="s">
        <v>74</v>
      </c>
      <c r="BP829" t="s">
        <v>74</v>
      </c>
      <c r="BQ829" t="s">
        <v>74</v>
      </c>
      <c r="BR829" t="s">
        <v>99</v>
      </c>
      <c r="BS829" t="s">
        <v>10701</v>
      </c>
      <c r="BT829" t="str">
        <f>HYPERLINK("https%3A%2F%2Fwww.webofscience.com%2Fwos%2Fwoscc%2Ffull-record%2FWOS:000078574800051","View Full Record in Web of Science")</f>
        <v>View Full Record in Web of Science</v>
      </c>
    </row>
    <row r="830" spans="1:72" x14ac:dyDescent="0.15">
      <c r="A830" t="s">
        <v>72</v>
      </c>
      <c r="B830" t="s">
        <v>1483</v>
      </c>
      <c r="C830" t="s">
        <v>74</v>
      </c>
      <c r="D830" t="s">
        <v>74</v>
      </c>
      <c r="E830" t="s">
        <v>74</v>
      </c>
      <c r="F830" t="s">
        <v>1483</v>
      </c>
      <c r="G830" t="s">
        <v>74</v>
      </c>
      <c r="H830" t="s">
        <v>74</v>
      </c>
      <c r="I830" t="s">
        <v>10702</v>
      </c>
      <c r="J830" t="s">
        <v>359</v>
      </c>
      <c r="K830" t="s">
        <v>74</v>
      </c>
      <c r="L830" t="s">
        <v>74</v>
      </c>
      <c r="M830" t="s">
        <v>77</v>
      </c>
      <c r="N830" t="s">
        <v>78</v>
      </c>
      <c r="O830" t="s">
        <v>74</v>
      </c>
      <c r="P830" t="s">
        <v>74</v>
      </c>
      <c r="Q830" t="s">
        <v>74</v>
      </c>
      <c r="R830" t="s">
        <v>74</v>
      </c>
      <c r="S830" t="s">
        <v>74</v>
      </c>
      <c r="T830" t="s">
        <v>74</v>
      </c>
      <c r="U830" t="s">
        <v>10703</v>
      </c>
      <c r="V830" t="s">
        <v>10704</v>
      </c>
      <c r="W830" t="s">
        <v>10705</v>
      </c>
      <c r="X830" t="s">
        <v>10706</v>
      </c>
      <c r="Y830" t="s">
        <v>1489</v>
      </c>
      <c r="Z830" t="s">
        <v>10707</v>
      </c>
      <c r="AA830" t="s">
        <v>74</v>
      </c>
      <c r="AB830" t="s">
        <v>74</v>
      </c>
      <c r="AC830" t="s">
        <v>74</v>
      </c>
      <c r="AD830" t="s">
        <v>74</v>
      </c>
      <c r="AE830" t="s">
        <v>74</v>
      </c>
      <c r="AF830" t="s">
        <v>74</v>
      </c>
      <c r="AG830">
        <v>45</v>
      </c>
      <c r="AH830">
        <v>27</v>
      </c>
      <c r="AI830">
        <v>28</v>
      </c>
      <c r="AJ830">
        <v>0</v>
      </c>
      <c r="AK830">
        <v>2</v>
      </c>
      <c r="AL830" t="s">
        <v>365</v>
      </c>
      <c r="AM830" t="s">
        <v>231</v>
      </c>
      <c r="AN830" t="s">
        <v>366</v>
      </c>
      <c r="AO830" t="s">
        <v>367</v>
      </c>
      <c r="AP830" t="s">
        <v>74</v>
      </c>
      <c r="AQ830" t="s">
        <v>74</v>
      </c>
      <c r="AR830" t="s">
        <v>368</v>
      </c>
      <c r="AS830" t="s">
        <v>369</v>
      </c>
      <c r="AT830" t="s">
        <v>10708</v>
      </c>
      <c r="AU830">
        <v>1999</v>
      </c>
      <c r="AV830">
        <v>103</v>
      </c>
      <c r="AW830">
        <v>6</v>
      </c>
      <c r="AX830" t="s">
        <v>74</v>
      </c>
      <c r="AY830" t="s">
        <v>74</v>
      </c>
      <c r="AZ830" t="s">
        <v>74</v>
      </c>
      <c r="BA830" t="s">
        <v>74</v>
      </c>
      <c r="BB830">
        <v>691</v>
      </c>
      <c r="BC830">
        <v>699</v>
      </c>
      <c r="BD830" t="s">
        <v>74</v>
      </c>
      <c r="BE830" t="s">
        <v>10709</v>
      </c>
      <c r="BF830" t="str">
        <f>HYPERLINK("http://dx.doi.org/10.1021/jp983407n","http://dx.doi.org/10.1021/jp983407n")</f>
        <v>http://dx.doi.org/10.1021/jp983407n</v>
      </c>
      <c r="BG830" t="s">
        <v>74</v>
      </c>
      <c r="BH830" t="s">
        <v>74</v>
      </c>
      <c r="BI830">
        <v>9</v>
      </c>
      <c r="BJ830" t="s">
        <v>372</v>
      </c>
      <c r="BK830" t="s">
        <v>96</v>
      </c>
      <c r="BL830" t="s">
        <v>373</v>
      </c>
      <c r="BM830" t="s">
        <v>10710</v>
      </c>
      <c r="BN830" t="s">
        <v>74</v>
      </c>
      <c r="BO830" t="s">
        <v>74</v>
      </c>
      <c r="BP830" t="s">
        <v>74</v>
      </c>
      <c r="BQ830" t="s">
        <v>74</v>
      </c>
      <c r="BR830" t="s">
        <v>99</v>
      </c>
      <c r="BS830" t="s">
        <v>10711</v>
      </c>
      <c r="BT830" t="str">
        <f>HYPERLINK("https%3A%2F%2Fwww.webofscience.com%2Fwos%2Fwoscc%2Ffull-record%2FWOS:000078914800008","View Full Record in Web of Science")</f>
        <v>View Full Record in Web of Science</v>
      </c>
    </row>
    <row r="831" spans="1:72" x14ac:dyDescent="0.15">
      <c r="A831" t="s">
        <v>72</v>
      </c>
      <c r="B831" t="s">
        <v>10712</v>
      </c>
      <c r="C831" t="s">
        <v>74</v>
      </c>
      <c r="D831" t="s">
        <v>74</v>
      </c>
      <c r="E831" t="s">
        <v>74</v>
      </c>
      <c r="F831" t="s">
        <v>10712</v>
      </c>
      <c r="G831" t="s">
        <v>74</v>
      </c>
      <c r="H831" t="s">
        <v>74</v>
      </c>
      <c r="I831" t="s">
        <v>10713</v>
      </c>
      <c r="J831" t="s">
        <v>359</v>
      </c>
      <c r="K831" t="s">
        <v>74</v>
      </c>
      <c r="L831" t="s">
        <v>74</v>
      </c>
      <c r="M831" t="s">
        <v>77</v>
      </c>
      <c r="N831" t="s">
        <v>78</v>
      </c>
      <c r="O831" t="s">
        <v>74</v>
      </c>
      <c r="P831" t="s">
        <v>74</v>
      </c>
      <c r="Q831" t="s">
        <v>74</v>
      </c>
      <c r="R831" t="s">
        <v>74</v>
      </c>
      <c r="S831" t="s">
        <v>74</v>
      </c>
      <c r="T831" t="s">
        <v>74</v>
      </c>
      <c r="U831" t="s">
        <v>10714</v>
      </c>
      <c r="V831" t="s">
        <v>10715</v>
      </c>
      <c r="W831" t="s">
        <v>10716</v>
      </c>
      <c r="X831" t="s">
        <v>10717</v>
      </c>
      <c r="Y831" t="s">
        <v>10718</v>
      </c>
      <c r="Z831" t="s">
        <v>10719</v>
      </c>
      <c r="AA831" t="s">
        <v>10720</v>
      </c>
      <c r="AB831" t="s">
        <v>10721</v>
      </c>
      <c r="AC831" t="s">
        <v>74</v>
      </c>
      <c r="AD831" t="s">
        <v>74</v>
      </c>
      <c r="AE831" t="s">
        <v>74</v>
      </c>
      <c r="AF831" t="s">
        <v>74</v>
      </c>
      <c r="AG831">
        <v>17</v>
      </c>
      <c r="AH831">
        <v>21</v>
      </c>
      <c r="AI831">
        <v>22</v>
      </c>
      <c r="AJ831">
        <v>0</v>
      </c>
      <c r="AK831">
        <v>3</v>
      </c>
      <c r="AL831" t="s">
        <v>365</v>
      </c>
      <c r="AM831" t="s">
        <v>231</v>
      </c>
      <c r="AN831" t="s">
        <v>366</v>
      </c>
      <c r="AO831" t="s">
        <v>367</v>
      </c>
      <c r="AP831" t="s">
        <v>74</v>
      </c>
      <c r="AQ831" t="s">
        <v>74</v>
      </c>
      <c r="AR831" t="s">
        <v>368</v>
      </c>
      <c r="AS831" t="s">
        <v>369</v>
      </c>
      <c r="AT831" t="s">
        <v>10708</v>
      </c>
      <c r="AU831">
        <v>1999</v>
      </c>
      <c r="AV831">
        <v>103</v>
      </c>
      <c r="AW831">
        <v>6</v>
      </c>
      <c r="AX831" t="s">
        <v>74</v>
      </c>
      <c r="AY831" t="s">
        <v>74</v>
      </c>
      <c r="AZ831" t="s">
        <v>74</v>
      </c>
      <c r="BA831" t="s">
        <v>74</v>
      </c>
      <c r="BB831">
        <v>739</v>
      </c>
      <c r="BC831">
        <v>743</v>
      </c>
      <c r="BD831" t="s">
        <v>74</v>
      </c>
      <c r="BE831" t="s">
        <v>10722</v>
      </c>
      <c r="BF831" t="str">
        <f>HYPERLINK("http://dx.doi.org/10.1021/jp983447r","http://dx.doi.org/10.1021/jp983447r")</f>
        <v>http://dx.doi.org/10.1021/jp983447r</v>
      </c>
      <c r="BG831" t="s">
        <v>74</v>
      </c>
      <c r="BH831" t="s">
        <v>74</v>
      </c>
      <c r="BI831">
        <v>5</v>
      </c>
      <c r="BJ831" t="s">
        <v>372</v>
      </c>
      <c r="BK831" t="s">
        <v>96</v>
      </c>
      <c r="BL831" t="s">
        <v>373</v>
      </c>
      <c r="BM831" t="s">
        <v>10710</v>
      </c>
      <c r="BN831" t="s">
        <v>74</v>
      </c>
      <c r="BO831" t="s">
        <v>74</v>
      </c>
      <c r="BP831" t="s">
        <v>74</v>
      </c>
      <c r="BQ831" t="s">
        <v>74</v>
      </c>
      <c r="BR831" t="s">
        <v>99</v>
      </c>
      <c r="BS831" t="s">
        <v>10723</v>
      </c>
      <c r="BT831" t="str">
        <f>HYPERLINK("https%3A%2F%2Fwww.webofscience.com%2Fwos%2Fwoscc%2Ffull-record%2FWOS:000078914800015","View Full Record in Web of Science")</f>
        <v>View Full Record in Web of Science</v>
      </c>
    </row>
    <row r="832" spans="1:72" x14ac:dyDescent="0.15">
      <c r="A832" t="s">
        <v>72</v>
      </c>
      <c r="B832" t="s">
        <v>10724</v>
      </c>
      <c r="C832" t="s">
        <v>74</v>
      </c>
      <c r="D832" t="s">
        <v>74</v>
      </c>
      <c r="E832" t="s">
        <v>74</v>
      </c>
      <c r="F832" t="s">
        <v>10724</v>
      </c>
      <c r="G832" t="s">
        <v>74</v>
      </c>
      <c r="H832" t="s">
        <v>74</v>
      </c>
      <c r="I832" t="s">
        <v>10725</v>
      </c>
      <c r="J832" t="s">
        <v>458</v>
      </c>
      <c r="K832" t="s">
        <v>74</v>
      </c>
      <c r="L832" t="s">
        <v>74</v>
      </c>
      <c r="M832" t="s">
        <v>77</v>
      </c>
      <c r="N832" t="s">
        <v>78</v>
      </c>
      <c r="O832" t="s">
        <v>74</v>
      </c>
      <c r="P832" t="s">
        <v>74</v>
      </c>
      <c r="Q832" t="s">
        <v>74</v>
      </c>
      <c r="R832" t="s">
        <v>74</v>
      </c>
      <c r="S832" t="s">
        <v>74</v>
      </c>
      <c r="T832" t="s">
        <v>74</v>
      </c>
      <c r="U832" t="s">
        <v>10726</v>
      </c>
      <c r="V832" t="s">
        <v>10727</v>
      </c>
      <c r="W832" t="s">
        <v>10728</v>
      </c>
      <c r="X832" t="s">
        <v>10729</v>
      </c>
      <c r="Y832" t="s">
        <v>10730</v>
      </c>
      <c r="Z832" t="s">
        <v>10731</v>
      </c>
      <c r="AA832" t="s">
        <v>74</v>
      </c>
      <c r="AB832" t="s">
        <v>10732</v>
      </c>
      <c r="AC832" t="s">
        <v>74</v>
      </c>
      <c r="AD832" t="s">
        <v>74</v>
      </c>
      <c r="AE832" t="s">
        <v>74</v>
      </c>
      <c r="AF832" t="s">
        <v>74</v>
      </c>
      <c r="AG832">
        <v>74</v>
      </c>
      <c r="AH832">
        <v>84</v>
      </c>
      <c r="AI832">
        <v>90</v>
      </c>
      <c r="AJ832">
        <v>1</v>
      </c>
      <c r="AK832">
        <v>11</v>
      </c>
      <c r="AL832" t="s">
        <v>230</v>
      </c>
      <c r="AM832" t="s">
        <v>231</v>
      </c>
      <c r="AN832" t="s">
        <v>232</v>
      </c>
      <c r="AO832" t="s">
        <v>465</v>
      </c>
      <c r="AP832" t="s">
        <v>466</v>
      </c>
      <c r="AQ832" t="s">
        <v>74</v>
      </c>
      <c r="AR832" t="s">
        <v>467</v>
      </c>
      <c r="AS832" t="s">
        <v>468</v>
      </c>
      <c r="AT832" t="s">
        <v>10733</v>
      </c>
      <c r="AU832">
        <v>1999</v>
      </c>
      <c r="AV832">
        <v>104</v>
      </c>
      <c r="AW832" t="s">
        <v>10734</v>
      </c>
      <c r="AX832" t="s">
        <v>74</v>
      </c>
      <c r="AY832" t="s">
        <v>74</v>
      </c>
      <c r="AZ832" t="s">
        <v>74</v>
      </c>
      <c r="BA832" t="s">
        <v>74</v>
      </c>
      <c r="BB832">
        <v>2973</v>
      </c>
      <c r="BC832">
        <v>2987</v>
      </c>
      <c r="BD832" t="s">
        <v>74</v>
      </c>
      <c r="BE832" t="s">
        <v>10735</v>
      </c>
      <c r="BF832" t="str">
        <f>HYPERLINK("http://dx.doi.org/10.1029/1998JB900026","http://dx.doi.org/10.1029/1998JB900026")</f>
        <v>http://dx.doi.org/10.1029/1998JB900026</v>
      </c>
      <c r="BG832" t="s">
        <v>74</v>
      </c>
      <c r="BH832" t="s">
        <v>74</v>
      </c>
      <c r="BI832">
        <v>15</v>
      </c>
      <c r="BJ832" t="s">
        <v>216</v>
      </c>
      <c r="BK832" t="s">
        <v>96</v>
      </c>
      <c r="BL832" t="s">
        <v>216</v>
      </c>
      <c r="BM832" t="s">
        <v>10736</v>
      </c>
      <c r="BN832" t="s">
        <v>74</v>
      </c>
      <c r="BO832" t="s">
        <v>74</v>
      </c>
      <c r="BP832" t="s">
        <v>74</v>
      </c>
      <c r="BQ832" t="s">
        <v>74</v>
      </c>
      <c r="BR832" t="s">
        <v>99</v>
      </c>
      <c r="BS832" t="s">
        <v>10737</v>
      </c>
      <c r="BT832" t="str">
        <f>HYPERLINK("https%3A%2F%2Fwww.webofscience.com%2Fwos%2Fwoscc%2Ffull-record%2FWOS:000078549400022","View Full Record in Web of Science")</f>
        <v>View Full Record in Web of Science</v>
      </c>
    </row>
    <row r="833" spans="1:72" x14ac:dyDescent="0.15">
      <c r="A833" t="s">
        <v>72</v>
      </c>
      <c r="B833" t="s">
        <v>10738</v>
      </c>
      <c r="C833" t="s">
        <v>74</v>
      </c>
      <c r="D833" t="s">
        <v>74</v>
      </c>
      <c r="E833" t="s">
        <v>74</v>
      </c>
      <c r="F833" t="s">
        <v>10738</v>
      </c>
      <c r="G833" t="s">
        <v>74</v>
      </c>
      <c r="H833" t="s">
        <v>74</v>
      </c>
      <c r="I833" t="s">
        <v>10739</v>
      </c>
      <c r="J833" t="s">
        <v>579</v>
      </c>
      <c r="K833" t="s">
        <v>74</v>
      </c>
      <c r="L833" t="s">
        <v>74</v>
      </c>
      <c r="M833" t="s">
        <v>77</v>
      </c>
      <c r="N833" t="s">
        <v>254</v>
      </c>
      <c r="O833" t="s">
        <v>74</v>
      </c>
      <c r="P833" t="s">
        <v>74</v>
      </c>
      <c r="Q833" t="s">
        <v>74</v>
      </c>
      <c r="R833" t="s">
        <v>74</v>
      </c>
      <c r="S833" t="s">
        <v>74</v>
      </c>
      <c r="T833" t="s">
        <v>74</v>
      </c>
      <c r="U833" t="s">
        <v>10740</v>
      </c>
      <c r="V833" t="s">
        <v>10741</v>
      </c>
      <c r="W833" t="s">
        <v>10742</v>
      </c>
      <c r="X833" t="s">
        <v>74</v>
      </c>
      <c r="Y833" t="s">
        <v>10743</v>
      </c>
      <c r="Z833" t="s">
        <v>74</v>
      </c>
      <c r="AA833" t="s">
        <v>74</v>
      </c>
      <c r="AB833" t="s">
        <v>74</v>
      </c>
      <c r="AC833" t="s">
        <v>74</v>
      </c>
      <c r="AD833" t="s">
        <v>74</v>
      </c>
      <c r="AE833" t="s">
        <v>74</v>
      </c>
      <c r="AF833" t="s">
        <v>74</v>
      </c>
      <c r="AG833">
        <v>132</v>
      </c>
      <c r="AH833">
        <v>23</v>
      </c>
      <c r="AI833">
        <v>33</v>
      </c>
      <c r="AJ833">
        <v>1</v>
      </c>
      <c r="AK833">
        <v>10</v>
      </c>
      <c r="AL833" t="s">
        <v>588</v>
      </c>
      <c r="AM833" t="s">
        <v>589</v>
      </c>
      <c r="AN833" t="s">
        <v>590</v>
      </c>
      <c r="AO833" t="s">
        <v>591</v>
      </c>
      <c r="AP833" t="s">
        <v>74</v>
      </c>
      <c r="AQ833" t="s">
        <v>74</v>
      </c>
      <c r="AR833" t="s">
        <v>593</v>
      </c>
      <c r="AS833" t="s">
        <v>594</v>
      </c>
      <c r="AT833" t="s">
        <v>10744</v>
      </c>
      <c r="AU833">
        <v>1999</v>
      </c>
      <c r="AV833">
        <v>31</v>
      </c>
      <c r="AW833">
        <v>1</v>
      </c>
      <c r="AX833" t="s">
        <v>74</v>
      </c>
      <c r="AY833" t="s">
        <v>74</v>
      </c>
      <c r="AZ833" t="s">
        <v>74</v>
      </c>
      <c r="BA833" t="s">
        <v>74</v>
      </c>
      <c r="BB833">
        <v>1</v>
      </c>
      <c r="BC833">
        <v>15</v>
      </c>
      <c r="BD833" t="s">
        <v>74</v>
      </c>
      <c r="BE833" t="s">
        <v>10745</v>
      </c>
      <c r="BF833" t="str">
        <f>HYPERLINK("http://dx.doi.org/10.2307/1552617","http://dx.doi.org/10.2307/1552617")</f>
        <v>http://dx.doi.org/10.2307/1552617</v>
      </c>
      <c r="BG833" t="s">
        <v>74</v>
      </c>
      <c r="BH833" t="s">
        <v>74</v>
      </c>
      <c r="BI833">
        <v>15</v>
      </c>
      <c r="BJ833" t="s">
        <v>596</v>
      </c>
      <c r="BK833" t="s">
        <v>4103</v>
      </c>
      <c r="BL833" t="s">
        <v>597</v>
      </c>
      <c r="BM833" t="s">
        <v>10746</v>
      </c>
      <c r="BN833" t="s">
        <v>74</v>
      </c>
      <c r="BO833" t="s">
        <v>74</v>
      </c>
      <c r="BP833" t="s">
        <v>74</v>
      </c>
      <c r="BQ833" t="s">
        <v>74</v>
      </c>
      <c r="BR833" t="s">
        <v>99</v>
      </c>
      <c r="BS833" t="s">
        <v>10747</v>
      </c>
      <c r="BT833" t="str">
        <f>HYPERLINK("https%3A%2F%2Fwww.webofscience.com%2Fwos%2Fwoscc%2Ffull-record%2FWOS:000080616400003","View Full Record in Web of Science")</f>
        <v>View Full Record in Web of Science</v>
      </c>
    </row>
    <row r="834" spans="1:72" x14ac:dyDescent="0.15">
      <c r="A834" t="s">
        <v>72</v>
      </c>
      <c r="B834" t="s">
        <v>10748</v>
      </c>
      <c r="C834" t="s">
        <v>74</v>
      </c>
      <c r="D834" t="s">
        <v>74</v>
      </c>
      <c r="E834" t="s">
        <v>74</v>
      </c>
      <c r="F834" t="s">
        <v>10748</v>
      </c>
      <c r="G834" t="s">
        <v>74</v>
      </c>
      <c r="H834" t="s">
        <v>74</v>
      </c>
      <c r="I834" t="s">
        <v>6639</v>
      </c>
      <c r="J834" t="s">
        <v>579</v>
      </c>
      <c r="K834" t="s">
        <v>74</v>
      </c>
      <c r="L834" t="s">
        <v>74</v>
      </c>
      <c r="M834" t="s">
        <v>77</v>
      </c>
      <c r="N834" t="s">
        <v>205</v>
      </c>
      <c r="O834" t="s">
        <v>74</v>
      </c>
      <c r="P834" t="s">
        <v>74</v>
      </c>
      <c r="Q834" t="s">
        <v>74</v>
      </c>
      <c r="R834" t="s">
        <v>74</v>
      </c>
      <c r="S834" t="s">
        <v>74</v>
      </c>
      <c r="T834" t="s">
        <v>74</v>
      </c>
      <c r="U834" t="s">
        <v>74</v>
      </c>
      <c r="V834" t="s">
        <v>74</v>
      </c>
      <c r="W834" t="s">
        <v>74</v>
      </c>
      <c r="X834" t="s">
        <v>74</v>
      </c>
      <c r="Y834" t="s">
        <v>74</v>
      </c>
      <c r="Z834" t="s">
        <v>74</v>
      </c>
      <c r="AA834" t="s">
        <v>10749</v>
      </c>
      <c r="AB834" t="s">
        <v>74</v>
      </c>
      <c r="AC834" t="s">
        <v>74</v>
      </c>
      <c r="AD834" t="s">
        <v>74</v>
      </c>
      <c r="AE834" t="s">
        <v>74</v>
      </c>
      <c r="AF834" t="s">
        <v>74</v>
      </c>
      <c r="AG834">
        <v>0</v>
      </c>
      <c r="AH834">
        <v>0</v>
      </c>
      <c r="AI834">
        <v>0</v>
      </c>
      <c r="AJ834">
        <v>0</v>
      </c>
      <c r="AK834">
        <v>0</v>
      </c>
      <c r="AL834" t="s">
        <v>588</v>
      </c>
      <c r="AM834" t="s">
        <v>589</v>
      </c>
      <c r="AN834" t="s">
        <v>590</v>
      </c>
      <c r="AO834" t="s">
        <v>591</v>
      </c>
      <c r="AP834" t="s">
        <v>74</v>
      </c>
      <c r="AQ834" t="s">
        <v>74</v>
      </c>
      <c r="AR834" t="s">
        <v>593</v>
      </c>
      <c r="AS834" t="s">
        <v>594</v>
      </c>
      <c r="AT834" t="s">
        <v>10744</v>
      </c>
      <c r="AU834">
        <v>1999</v>
      </c>
      <c r="AV834">
        <v>31</v>
      </c>
      <c r="AW834">
        <v>1</v>
      </c>
      <c r="AX834" t="s">
        <v>74</v>
      </c>
      <c r="AY834" t="s">
        <v>74</v>
      </c>
      <c r="AZ834" t="s">
        <v>74</v>
      </c>
      <c r="BA834" t="s">
        <v>74</v>
      </c>
      <c r="BB834" t="s">
        <v>10750</v>
      </c>
      <c r="BC834" t="s">
        <v>10750</v>
      </c>
      <c r="BD834" t="s">
        <v>74</v>
      </c>
      <c r="BE834" t="s">
        <v>10751</v>
      </c>
      <c r="BF834" t="str">
        <f>HYPERLINK("http://dx.doi.org/10.1080/15230430.1999.12003273","http://dx.doi.org/10.1080/15230430.1999.12003273")</f>
        <v>http://dx.doi.org/10.1080/15230430.1999.12003273</v>
      </c>
      <c r="BG834" t="s">
        <v>74</v>
      </c>
      <c r="BH834" t="s">
        <v>74</v>
      </c>
      <c r="BI834">
        <v>1</v>
      </c>
      <c r="BJ834" t="s">
        <v>596</v>
      </c>
      <c r="BK834" t="s">
        <v>96</v>
      </c>
      <c r="BL834" t="s">
        <v>597</v>
      </c>
      <c r="BM834" t="s">
        <v>10746</v>
      </c>
      <c r="BN834" t="s">
        <v>74</v>
      </c>
      <c r="BO834" t="s">
        <v>250</v>
      </c>
      <c r="BP834" t="s">
        <v>74</v>
      </c>
      <c r="BQ834" t="s">
        <v>74</v>
      </c>
      <c r="BR834" t="s">
        <v>99</v>
      </c>
      <c r="BS834" t="s">
        <v>10752</v>
      </c>
      <c r="BT834" t="str">
        <f>HYPERLINK("https%3A%2F%2Fwww.webofscience.com%2Fwos%2Fwoscc%2Ffull-record%2FWOS:000080616400001","View Full Record in Web of Science")</f>
        <v>View Full Record in Web of Science</v>
      </c>
    </row>
    <row r="835" spans="1:72" x14ac:dyDescent="0.15">
      <c r="A835" t="s">
        <v>72</v>
      </c>
      <c r="B835" t="s">
        <v>10753</v>
      </c>
      <c r="C835" t="s">
        <v>74</v>
      </c>
      <c r="D835" t="s">
        <v>74</v>
      </c>
      <c r="E835" t="s">
        <v>74</v>
      </c>
      <c r="F835" t="s">
        <v>10753</v>
      </c>
      <c r="G835" t="s">
        <v>74</v>
      </c>
      <c r="H835" t="s">
        <v>74</v>
      </c>
      <c r="I835" t="s">
        <v>10754</v>
      </c>
      <c r="J835" t="s">
        <v>579</v>
      </c>
      <c r="K835" t="s">
        <v>74</v>
      </c>
      <c r="L835" t="s">
        <v>74</v>
      </c>
      <c r="M835" t="s">
        <v>77</v>
      </c>
      <c r="N835" t="s">
        <v>205</v>
      </c>
      <c r="O835" t="s">
        <v>74</v>
      </c>
      <c r="P835" t="s">
        <v>74</v>
      </c>
      <c r="Q835" t="s">
        <v>74</v>
      </c>
      <c r="R835" t="s">
        <v>74</v>
      </c>
      <c r="S835" t="s">
        <v>74</v>
      </c>
      <c r="T835" t="s">
        <v>74</v>
      </c>
      <c r="U835" t="s">
        <v>74</v>
      </c>
      <c r="V835" t="s">
        <v>74</v>
      </c>
      <c r="W835" t="s">
        <v>10755</v>
      </c>
      <c r="X835" t="s">
        <v>10756</v>
      </c>
      <c r="Y835" t="s">
        <v>10757</v>
      </c>
      <c r="Z835" t="s">
        <v>74</v>
      </c>
      <c r="AA835" t="s">
        <v>74</v>
      </c>
      <c r="AB835" t="s">
        <v>74</v>
      </c>
      <c r="AC835" t="s">
        <v>74</v>
      </c>
      <c r="AD835" t="s">
        <v>74</v>
      </c>
      <c r="AE835" t="s">
        <v>74</v>
      </c>
      <c r="AF835" t="s">
        <v>74</v>
      </c>
      <c r="AG835">
        <v>1</v>
      </c>
      <c r="AH835">
        <v>0</v>
      </c>
      <c r="AI835">
        <v>0</v>
      </c>
      <c r="AJ835">
        <v>0</v>
      </c>
      <c r="AK835">
        <v>2</v>
      </c>
      <c r="AL835" t="s">
        <v>588</v>
      </c>
      <c r="AM835" t="s">
        <v>589</v>
      </c>
      <c r="AN835" t="s">
        <v>590</v>
      </c>
      <c r="AO835" t="s">
        <v>591</v>
      </c>
      <c r="AP835" t="s">
        <v>74</v>
      </c>
      <c r="AQ835" t="s">
        <v>74</v>
      </c>
      <c r="AR835" t="s">
        <v>593</v>
      </c>
      <c r="AS835" t="s">
        <v>594</v>
      </c>
      <c r="AT835" t="s">
        <v>10744</v>
      </c>
      <c r="AU835">
        <v>1999</v>
      </c>
      <c r="AV835">
        <v>31</v>
      </c>
      <c r="AW835">
        <v>1</v>
      </c>
      <c r="AX835" t="s">
        <v>74</v>
      </c>
      <c r="AY835" t="s">
        <v>74</v>
      </c>
      <c r="AZ835" t="s">
        <v>74</v>
      </c>
      <c r="BA835" t="s">
        <v>74</v>
      </c>
      <c r="BB835" t="s">
        <v>10758</v>
      </c>
      <c r="BC835" t="s">
        <v>10758</v>
      </c>
      <c r="BD835" t="s">
        <v>74</v>
      </c>
      <c r="BE835" t="s">
        <v>10759</v>
      </c>
      <c r="BF835" t="str">
        <f>HYPERLINK("http://dx.doi.org/10.2307/1552616","http://dx.doi.org/10.2307/1552616")</f>
        <v>http://dx.doi.org/10.2307/1552616</v>
      </c>
      <c r="BG835" t="s">
        <v>74</v>
      </c>
      <c r="BH835" t="s">
        <v>74</v>
      </c>
      <c r="BI835">
        <v>1</v>
      </c>
      <c r="BJ835" t="s">
        <v>596</v>
      </c>
      <c r="BK835" t="s">
        <v>96</v>
      </c>
      <c r="BL835" t="s">
        <v>597</v>
      </c>
      <c r="BM835" t="s">
        <v>10746</v>
      </c>
      <c r="BN835" t="s">
        <v>74</v>
      </c>
      <c r="BO835" t="s">
        <v>250</v>
      </c>
      <c r="BP835" t="s">
        <v>74</v>
      </c>
      <c r="BQ835" t="s">
        <v>74</v>
      </c>
      <c r="BR835" t="s">
        <v>99</v>
      </c>
      <c r="BS835" t="s">
        <v>10760</v>
      </c>
      <c r="BT835" t="str">
        <f>HYPERLINK("https%3A%2F%2Fwww.webofscience.com%2Fwos%2Fwoscc%2Ffull-record%2FWOS:000080616400002","View Full Record in Web of Science")</f>
        <v>View Full Record in Web of Science</v>
      </c>
    </row>
    <row r="836" spans="1:72" x14ac:dyDescent="0.15">
      <c r="A836" t="s">
        <v>72</v>
      </c>
      <c r="B836" t="s">
        <v>10761</v>
      </c>
      <c r="C836" t="s">
        <v>74</v>
      </c>
      <c r="D836" t="s">
        <v>74</v>
      </c>
      <c r="E836" t="s">
        <v>74</v>
      </c>
      <c r="F836" t="s">
        <v>10761</v>
      </c>
      <c r="G836" t="s">
        <v>74</v>
      </c>
      <c r="H836" t="s">
        <v>74</v>
      </c>
      <c r="I836" t="s">
        <v>10762</v>
      </c>
      <c r="J836" t="s">
        <v>579</v>
      </c>
      <c r="K836" t="s">
        <v>74</v>
      </c>
      <c r="L836" t="s">
        <v>74</v>
      </c>
      <c r="M836" t="s">
        <v>77</v>
      </c>
      <c r="N836" t="s">
        <v>78</v>
      </c>
      <c r="O836" t="s">
        <v>74</v>
      </c>
      <c r="P836" t="s">
        <v>74</v>
      </c>
      <c r="Q836" t="s">
        <v>74</v>
      </c>
      <c r="R836" t="s">
        <v>74</v>
      </c>
      <c r="S836" t="s">
        <v>74</v>
      </c>
      <c r="T836" t="s">
        <v>74</v>
      </c>
      <c r="U836" t="s">
        <v>10763</v>
      </c>
      <c r="V836" t="s">
        <v>10764</v>
      </c>
      <c r="W836" t="s">
        <v>10765</v>
      </c>
      <c r="X836" t="s">
        <v>10766</v>
      </c>
      <c r="Y836" t="s">
        <v>10767</v>
      </c>
      <c r="Z836" t="s">
        <v>74</v>
      </c>
      <c r="AA836" t="s">
        <v>10768</v>
      </c>
      <c r="AB836" t="s">
        <v>10769</v>
      </c>
      <c r="AC836" t="s">
        <v>74</v>
      </c>
      <c r="AD836" t="s">
        <v>74</v>
      </c>
      <c r="AE836" t="s">
        <v>74</v>
      </c>
      <c r="AF836" t="s">
        <v>74</v>
      </c>
      <c r="AG836">
        <v>30</v>
      </c>
      <c r="AH836">
        <v>16</v>
      </c>
      <c r="AI836">
        <v>20</v>
      </c>
      <c r="AJ836">
        <v>0</v>
      </c>
      <c r="AK836">
        <v>5</v>
      </c>
      <c r="AL836" t="s">
        <v>588</v>
      </c>
      <c r="AM836" t="s">
        <v>589</v>
      </c>
      <c r="AN836" t="s">
        <v>590</v>
      </c>
      <c r="AO836" t="s">
        <v>591</v>
      </c>
      <c r="AP836" t="s">
        <v>74</v>
      </c>
      <c r="AQ836" t="s">
        <v>74</v>
      </c>
      <c r="AR836" t="s">
        <v>593</v>
      </c>
      <c r="AS836" t="s">
        <v>594</v>
      </c>
      <c r="AT836" t="s">
        <v>10744</v>
      </c>
      <c r="AU836">
        <v>1999</v>
      </c>
      <c r="AV836">
        <v>31</v>
      </c>
      <c r="AW836">
        <v>1</v>
      </c>
      <c r="AX836" t="s">
        <v>74</v>
      </c>
      <c r="AY836" t="s">
        <v>74</v>
      </c>
      <c r="AZ836" t="s">
        <v>74</v>
      </c>
      <c r="BA836" t="s">
        <v>74</v>
      </c>
      <c r="BB836">
        <v>16</v>
      </c>
      <c r="BC836">
        <v>20</v>
      </c>
      <c r="BD836" t="s">
        <v>74</v>
      </c>
      <c r="BE836" t="s">
        <v>10770</v>
      </c>
      <c r="BF836" t="str">
        <f>HYPERLINK("http://dx.doi.org/10.2307/1552618","http://dx.doi.org/10.2307/1552618")</f>
        <v>http://dx.doi.org/10.2307/1552618</v>
      </c>
      <c r="BG836" t="s">
        <v>74</v>
      </c>
      <c r="BH836" t="s">
        <v>74</v>
      </c>
      <c r="BI836">
        <v>5</v>
      </c>
      <c r="BJ836" t="s">
        <v>596</v>
      </c>
      <c r="BK836" t="s">
        <v>96</v>
      </c>
      <c r="BL836" t="s">
        <v>597</v>
      </c>
      <c r="BM836" t="s">
        <v>10746</v>
      </c>
      <c r="BN836" t="s">
        <v>74</v>
      </c>
      <c r="BO836" t="s">
        <v>74</v>
      </c>
      <c r="BP836" t="s">
        <v>74</v>
      </c>
      <c r="BQ836" t="s">
        <v>74</v>
      </c>
      <c r="BR836" t="s">
        <v>99</v>
      </c>
      <c r="BS836" t="s">
        <v>10771</v>
      </c>
      <c r="BT836" t="str">
        <f>HYPERLINK("https%3A%2F%2Fwww.webofscience.com%2Fwos%2Fwoscc%2Ffull-record%2FWOS:000080616400004","View Full Record in Web of Science")</f>
        <v>View Full Record in Web of Science</v>
      </c>
    </row>
    <row r="837" spans="1:72" x14ac:dyDescent="0.15">
      <c r="A837" t="s">
        <v>72</v>
      </c>
      <c r="B837" t="s">
        <v>4302</v>
      </c>
      <c r="C837" t="s">
        <v>74</v>
      </c>
      <c r="D837" t="s">
        <v>74</v>
      </c>
      <c r="E837" t="s">
        <v>74</v>
      </c>
      <c r="F837" t="s">
        <v>4302</v>
      </c>
      <c r="G837" t="s">
        <v>74</v>
      </c>
      <c r="H837" t="s">
        <v>74</v>
      </c>
      <c r="I837" t="s">
        <v>10772</v>
      </c>
      <c r="J837" t="s">
        <v>579</v>
      </c>
      <c r="K837" t="s">
        <v>74</v>
      </c>
      <c r="L837" t="s">
        <v>74</v>
      </c>
      <c r="M837" t="s">
        <v>77</v>
      </c>
      <c r="N837" t="s">
        <v>78</v>
      </c>
      <c r="O837" t="s">
        <v>74</v>
      </c>
      <c r="P837" t="s">
        <v>74</v>
      </c>
      <c r="Q837" t="s">
        <v>74</v>
      </c>
      <c r="R837" t="s">
        <v>74</v>
      </c>
      <c r="S837" t="s">
        <v>74</v>
      </c>
      <c r="T837" t="s">
        <v>74</v>
      </c>
      <c r="U837" t="s">
        <v>10773</v>
      </c>
      <c r="V837" t="s">
        <v>10774</v>
      </c>
      <c r="W837" t="s">
        <v>10775</v>
      </c>
      <c r="X837" t="s">
        <v>10776</v>
      </c>
      <c r="Y837" t="s">
        <v>10777</v>
      </c>
      <c r="Z837" t="s">
        <v>74</v>
      </c>
      <c r="AA837" t="s">
        <v>74</v>
      </c>
      <c r="AB837" t="s">
        <v>74</v>
      </c>
      <c r="AC837" t="s">
        <v>74</v>
      </c>
      <c r="AD837" t="s">
        <v>74</v>
      </c>
      <c r="AE837" t="s">
        <v>74</v>
      </c>
      <c r="AF837" t="s">
        <v>74</v>
      </c>
      <c r="AG837">
        <v>27</v>
      </c>
      <c r="AH837">
        <v>20</v>
      </c>
      <c r="AI837">
        <v>22</v>
      </c>
      <c r="AJ837">
        <v>0</v>
      </c>
      <c r="AK837">
        <v>10</v>
      </c>
      <c r="AL837" t="s">
        <v>588</v>
      </c>
      <c r="AM837" t="s">
        <v>589</v>
      </c>
      <c r="AN837" t="s">
        <v>590</v>
      </c>
      <c r="AO837" t="s">
        <v>591</v>
      </c>
      <c r="AP837" t="s">
        <v>74</v>
      </c>
      <c r="AQ837" t="s">
        <v>74</v>
      </c>
      <c r="AR837" t="s">
        <v>593</v>
      </c>
      <c r="AS837" t="s">
        <v>594</v>
      </c>
      <c r="AT837" t="s">
        <v>10744</v>
      </c>
      <c r="AU837">
        <v>1999</v>
      </c>
      <c r="AV837">
        <v>31</v>
      </c>
      <c r="AW837">
        <v>1</v>
      </c>
      <c r="AX837" t="s">
        <v>74</v>
      </c>
      <c r="AY837" t="s">
        <v>74</v>
      </c>
      <c r="AZ837" t="s">
        <v>74</v>
      </c>
      <c r="BA837" t="s">
        <v>74</v>
      </c>
      <c r="BB837">
        <v>21</v>
      </c>
      <c r="BC837">
        <v>26</v>
      </c>
      <c r="BD837" t="s">
        <v>74</v>
      </c>
      <c r="BE837" t="s">
        <v>10778</v>
      </c>
      <c r="BF837" t="str">
        <f>HYPERLINK("http://dx.doi.org/10.2307/1552619","http://dx.doi.org/10.2307/1552619")</f>
        <v>http://dx.doi.org/10.2307/1552619</v>
      </c>
      <c r="BG837" t="s">
        <v>74</v>
      </c>
      <c r="BH837" t="s">
        <v>74</v>
      </c>
      <c r="BI837">
        <v>6</v>
      </c>
      <c r="BJ837" t="s">
        <v>596</v>
      </c>
      <c r="BK837" t="s">
        <v>96</v>
      </c>
      <c r="BL837" t="s">
        <v>597</v>
      </c>
      <c r="BM837" t="s">
        <v>10746</v>
      </c>
      <c r="BN837" t="s">
        <v>74</v>
      </c>
      <c r="BO837" t="s">
        <v>250</v>
      </c>
      <c r="BP837" t="s">
        <v>74</v>
      </c>
      <c r="BQ837" t="s">
        <v>74</v>
      </c>
      <c r="BR837" t="s">
        <v>99</v>
      </c>
      <c r="BS837" t="s">
        <v>10779</v>
      </c>
      <c r="BT837" t="str">
        <f>HYPERLINK("https%3A%2F%2Fwww.webofscience.com%2Fwos%2Fwoscc%2Ffull-record%2FWOS:000080616400005","View Full Record in Web of Science")</f>
        <v>View Full Record in Web of Science</v>
      </c>
    </row>
    <row r="838" spans="1:72" x14ac:dyDescent="0.15">
      <c r="A838" t="s">
        <v>72</v>
      </c>
      <c r="B838" t="s">
        <v>10780</v>
      </c>
      <c r="C838" t="s">
        <v>74</v>
      </c>
      <c r="D838" t="s">
        <v>74</v>
      </c>
      <c r="E838" t="s">
        <v>74</v>
      </c>
      <c r="F838" t="s">
        <v>10780</v>
      </c>
      <c r="G838" t="s">
        <v>74</v>
      </c>
      <c r="H838" t="s">
        <v>74</v>
      </c>
      <c r="I838" t="s">
        <v>10781</v>
      </c>
      <c r="J838" t="s">
        <v>579</v>
      </c>
      <c r="K838" t="s">
        <v>74</v>
      </c>
      <c r="L838" t="s">
        <v>74</v>
      </c>
      <c r="M838" t="s">
        <v>77</v>
      </c>
      <c r="N838" t="s">
        <v>78</v>
      </c>
      <c r="O838" t="s">
        <v>74</v>
      </c>
      <c r="P838" t="s">
        <v>74</v>
      </c>
      <c r="Q838" t="s">
        <v>74</v>
      </c>
      <c r="R838" t="s">
        <v>74</v>
      </c>
      <c r="S838" t="s">
        <v>74</v>
      </c>
      <c r="T838" t="s">
        <v>74</v>
      </c>
      <c r="U838" t="s">
        <v>10782</v>
      </c>
      <c r="V838" t="s">
        <v>10783</v>
      </c>
      <c r="W838" t="s">
        <v>10784</v>
      </c>
      <c r="X838" t="s">
        <v>10785</v>
      </c>
      <c r="Y838" t="s">
        <v>10786</v>
      </c>
      <c r="Z838" t="s">
        <v>74</v>
      </c>
      <c r="AA838" t="s">
        <v>10787</v>
      </c>
      <c r="AB838" t="s">
        <v>10788</v>
      </c>
      <c r="AC838" t="s">
        <v>74</v>
      </c>
      <c r="AD838" t="s">
        <v>74</v>
      </c>
      <c r="AE838" t="s">
        <v>74</v>
      </c>
      <c r="AF838" t="s">
        <v>74</v>
      </c>
      <c r="AG838">
        <v>22</v>
      </c>
      <c r="AH838">
        <v>24</v>
      </c>
      <c r="AI838">
        <v>25</v>
      </c>
      <c r="AJ838">
        <v>0</v>
      </c>
      <c r="AK838">
        <v>18</v>
      </c>
      <c r="AL838" t="s">
        <v>588</v>
      </c>
      <c r="AM838" t="s">
        <v>589</v>
      </c>
      <c r="AN838" t="s">
        <v>590</v>
      </c>
      <c r="AO838" t="s">
        <v>591</v>
      </c>
      <c r="AP838" t="s">
        <v>74</v>
      </c>
      <c r="AQ838" t="s">
        <v>74</v>
      </c>
      <c r="AR838" t="s">
        <v>593</v>
      </c>
      <c r="AS838" t="s">
        <v>594</v>
      </c>
      <c r="AT838" t="s">
        <v>10744</v>
      </c>
      <c r="AU838">
        <v>1999</v>
      </c>
      <c r="AV838">
        <v>31</v>
      </c>
      <c r="AW838">
        <v>1</v>
      </c>
      <c r="AX838" t="s">
        <v>74</v>
      </c>
      <c r="AY838" t="s">
        <v>74</v>
      </c>
      <c r="AZ838" t="s">
        <v>74</v>
      </c>
      <c r="BA838" t="s">
        <v>74</v>
      </c>
      <c r="BB838">
        <v>27</v>
      </c>
      <c r="BC838">
        <v>33</v>
      </c>
      <c r="BD838" t="s">
        <v>74</v>
      </c>
      <c r="BE838" t="s">
        <v>10789</v>
      </c>
      <c r="BF838" t="str">
        <f>HYPERLINK("http://dx.doi.org/10.2307/1552620","http://dx.doi.org/10.2307/1552620")</f>
        <v>http://dx.doi.org/10.2307/1552620</v>
      </c>
      <c r="BG838" t="s">
        <v>74</v>
      </c>
      <c r="BH838" t="s">
        <v>74</v>
      </c>
      <c r="BI838">
        <v>7</v>
      </c>
      <c r="BJ838" t="s">
        <v>596</v>
      </c>
      <c r="BK838" t="s">
        <v>96</v>
      </c>
      <c r="BL838" t="s">
        <v>597</v>
      </c>
      <c r="BM838" t="s">
        <v>10746</v>
      </c>
      <c r="BN838" t="s">
        <v>74</v>
      </c>
      <c r="BO838" t="s">
        <v>74</v>
      </c>
      <c r="BP838" t="s">
        <v>74</v>
      </c>
      <c r="BQ838" t="s">
        <v>74</v>
      </c>
      <c r="BR838" t="s">
        <v>99</v>
      </c>
      <c r="BS838" t="s">
        <v>10790</v>
      </c>
      <c r="BT838" t="str">
        <f>HYPERLINK("https%3A%2F%2Fwww.webofscience.com%2Fwos%2Fwoscc%2Ffull-record%2FWOS:000080616400006","View Full Record in Web of Science")</f>
        <v>View Full Record in Web of Science</v>
      </c>
    </row>
    <row r="839" spans="1:72" x14ac:dyDescent="0.15">
      <c r="A839" t="s">
        <v>72</v>
      </c>
      <c r="B839" t="s">
        <v>10791</v>
      </c>
      <c r="C839" t="s">
        <v>74</v>
      </c>
      <c r="D839" t="s">
        <v>74</v>
      </c>
      <c r="E839" t="s">
        <v>74</v>
      </c>
      <c r="F839" t="s">
        <v>10791</v>
      </c>
      <c r="G839" t="s">
        <v>74</v>
      </c>
      <c r="H839" t="s">
        <v>74</v>
      </c>
      <c r="I839" t="s">
        <v>10792</v>
      </c>
      <c r="J839" t="s">
        <v>579</v>
      </c>
      <c r="K839" t="s">
        <v>74</v>
      </c>
      <c r="L839" t="s">
        <v>74</v>
      </c>
      <c r="M839" t="s">
        <v>77</v>
      </c>
      <c r="N839" t="s">
        <v>78</v>
      </c>
      <c r="O839" t="s">
        <v>74</v>
      </c>
      <c r="P839" t="s">
        <v>74</v>
      </c>
      <c r="Q839" t="s">
        <v>74</v>
      </c>
      <c r="R839" t="s">
        <v>74</v>
      </c>
      <c r="S839" t="s">
        <v>74</v>
      </c>
      <c r="T839" t="s">
        <v>74</v>
      </c>
      <c r="U839" t="s">
        <v>10793</v>
      </c>
      <c r="V839" t="s">
        <v>10794</v>
      </c>
      <c r="W839" t="s">
        <v>10795</v>
      </c>
      <c r="X839" t="s">
        <v>10796</v>
      </c>
      <c r="Y839" t="s">
        <v>10797</v>
      </c>
      <c r="Z839" t="s">
        <v>10798</v>
      </c>
      <c r="AA839" t="s">
        <v>10799</v>
      </c>
      <c r="AB839" t="s">
        <v>10800</v>
      </c>
      <c r="AC839" t="s">
        <v>74</v>
      </c>
      <c r="AD839" t="s">
        <v>74</v>
      </c>
      <c r="AE839" t="s">
        <v>74</v>
      </c>
      <c r="AF839" t="s">
        <v>74</v>
      </c>
      <c r="AG839">
        <v>70</v>
      </c>
      <c r="AH839">
        <v>28</v>
      </c>
      <c r="AI839">
        <v>28</v>
      </c>
      <c r="AJ839">
        <v>0</v>
      </c>
      <c r="AK839">
        <v>5</v>
      </c>
      <c r="AL839" t="s">
        <v>588</v>
      </c>
      <c r="AM839" t="s">
        <v>589</v>
      </c>
      <c r="AN839" t="s">
        <v>590</v>
      </c>
      <c r="AO839" t="s">
        <v>591</v>
      </c>
      <c r="AP839" t="s">
        <v>592</v>
      </c>
      <c r="AQ839" t="s">
        <v>74</v>
      </c>
      <c r="AR839" t="s">
        <v>593</v>
      </c>
      <c r="AS839" t="s">
        <v>594</v>
      </c>
      <c r="AT839" t="s">
        <v>10744</v>
      </c>
      <c r="AU839">
        <v>1999</v>
      </c>
      <c r="AV839">
        <v>31</v>
      </c>
      <c r="AW839">
        <v>1</v>
      </c>
      <c r="AX839" t="s">
        <v>74</v>
      </c>
      <c r="AY839" t="s">
        <v>74</v>
      </c>
      <c r="AZ839" t="s">
        <v>74</v>
      </c>
      <c r="BA839" t="s">
        <v>74</v>
      </c>
      <c r="BB839">
        <v>34</v>
      </c>
      <c r="BC839">
        <v>49</v>
      </c>
      <c r="BD839" t="s">
        <v>74</v>
      </c>
      <c r="BE839" t="s">
        <v>10801</v>
      </c>
      <c r="BF839" t="str">
        <f>HYPERLINK("http://dx.doi.org/10.2307/1552621","http://dx.doi.org/10.2307/1552621")</f>
        <v>http://dx.doi.org/10.2307/1552621</v>
      </c>
      <c r="BG839" t="s">
        <v>74</v>
      </c>
      <c r="BH839" t="s">
        <v>74</v>
      </c>
      <c r="BI839">
        <v>16</v>
      </c>
      <c r="BJ839" t="s">
        <v>596</v>
      </c>
      <c r="BK839" t="s">
        <v>96</v>
      </c>
      <c r="BL839" t="s">
        <v>597</v>
      </c>
      <c r="BM839" t="s">
        <v>10746</v>
      </c>
      <c r="BN839" t="s">
        <v>74</v>
      </c>
      <c r="BO839" t="s">
        <v>74</v>
      </c>
      <c r="BP839" t="s">
        <v>74</v>
      </c>
      <c r="BQ839" t="s">
        <v>74</v>
      </c>
      <c r="BR839" t="s">
        <v>99</v>
      </c>
      <c r="BS839" t="s">
        <v>10802</v>
      </c>
      <c r="BT839" t="str">
        <f>HYPERLINK("https%3A%2F%2Fwww.webofscience.com%2Fwos%2Fwoscc%2Ffull-record%2FWOS:000080616400007","View Full Record in Web of Science")</f>
        <v>View Full Record in Web of Science</v>
      </c>
    </row>
    <row r="840" spans="1:72" x14ac:dyDescent="0.15">
      <c r="A840" t="s">
        <v>72</v>
      </c>
      <c r="B840" t="s">
        <v>10803</v>
      </c>
      <c r="C840" t="s">
        <v>74</v>
      </c>
      <c r="D840" t="s">
        <v>74</v>
      </c>
      <c r="E840" t="s">
        <v>74</v>
      </c>
      <c r="F840" t="s">
        <v>10803</v>
      </c>
      <c r="G840" t="s">
        <v>74</v>
      </c>
      <c r="H840" t="s">
        <v>74</v>
      </c>
      <c r="I840" t="s">
        <v>10804</v>
      </c>
      <c r="J840" t="s">
        <v>579</v>
      </c>
      <c r="K840" t="s">
        <v>74</v>
      </c>
      <c r="L840" t="s">
        <v>74</v>
      </c>
      <c r="M840" t="s">
        <v>77</v>
      </c>
      <c r="N840" t="s">
        <v>78</v>
      </c>
      <c r="O840" t="s">
        <v>74</v>
      </c>
      <c r="P840" t="s">
        <v>74</v>
      </c>
      <c r="Q840" t="s">
        <v>74</v>
      </c>
      <c r="R840" t="s">
        <v>74</v>
      </c>
      <c r="S840" t="s">
        <v>74</v>
      </c>
      <c r="T840" t="s">
        <v>74</v>
      </c>
      <c r="U840" t="s">
        <v>10805</v>
      </c>
      <c r="V840" t="s">
        <v>10806</v>
      </c>
      <c r="W840" t="s">
        <v>10807</v>
      </c>
      <c r="X840" t="s">
        <v>7711</v>
      </c>
      <c r="Y840" t="s">
        <v>10808</v>
      </c>
      <c r="Z840" t="s">
        <v>10809</v>
      </c>
      <c r="AA840" t="s">
        <v>10749</v>
      </c>
      <c r="AB840" t="s">
        <v>74</v>
      </c>
      <c r="AC840" t="s">
        <v>74</v>
      </c>
      <c r="AD840" t="s">
        <v>74</v>
      </c>
      <c r="AE840" t="s">
        <v>74</v>
      </c>
      <c r="AF840" t="s">
        <v>74</v>
      </c>
      <c r="AG840">
        <v>40</v>
      </c>
      <c r="AH840">
        <v>51</v>
      </c>
      <c r="AI840">
        <v>55</v>
      </c>
      <c r="AJ840">
        <v>0</v>
      </c>
      <c r="AK840">
        <v>5</v>
      </c>
      <c r="AL840" t="s">
        <v>588</v>
      </c>
      <c r="AM840" t="s">
        <v>589</v>
      </c>
      <c r="AN840" t="s">
        <v>590</v>
      </c>
      <c r="AO840" t="s">
        <v>591</v>
      </c>
      <c r="AP840" t="s">
        <v>74</v>
      </c>
      <c r="AQ840" t="s">
        <v>74</v>
      </c>
      <c r="AR840" t="s">
        <v>593</v>
      </c>
      <c r="AS840" t="s">
        <v>594</v>
      </c>
      <c r="AT840" t="s">
        <v>10744</v>
      </c>
      <c r="AU840">
        <v>1999</v>
      </c>
      <c r="AV840">
        <v>31</v>
      </c>
      <c r="AW840">
        <v>1</v>
      </c>
      <c r="AX840" t="s">
        <v>74</v>
      </c>
      <c r="AY840" t="s">
        <v>74</v>
      </c>
      <c r="AZ840" t="s">
        <v>74</v>
      </c>
      <c r="BA840" t="s">
        <v>74</v>
      </c>
      <c r="BB840">
        <v>50</v>
      </c>
      <c r="BC840">
        <v>57</v>
      </c>
      <c r="BD840" t="s">
        <v>74</v>
      </c>
      <c r="BE840" t="s">
        <v>10810</v>
      </c>
      <c r="BF840" t="str">
        <f>HYPERLINK("http://dx.doi.org/10.2307/1552622","http://dx.doi.org/10.2307/1552622")</f>
        <v>http://dx.doi.org/10.2307/1552622</v>
      </c>
      <c r="BG840" t="s">
        <v>74</v>
      </c>
      <c r="BH840" t="s">
        <v>74</v>
      </c>
      <c r="BI840">
        <v>8</v>
      </c>
      <c r="BJ840" t="s">
        <v>596</v>
      </c>
      <c r="BK840" t="s">
        <v>96</v>
      </c>
      <c r="BL840" t="s">
        <v>597</v>
      </c>
      <c r="BM840" t="s">
        <v>10746</v>
      </c>
      <c r="BN840" t="s">
        <v>74</v>
      </c>
      <c r="BO840" t="s">
        <v>250</v>
      </c>
      <c r="BP840" t="s">
        <v>74</v>
      </c>
      <c r="BQ840" t="s">
        <v>74</v>
      </c>
      <c r="BR840" t="s">
        <v>99</v>
      </c>
      <c r="BS840" t="s">
        <v>10811</v>
      </c>
      <c r="BT840" t="str">
        <f>HYPERLINK("https%3A%2F%2Fwww.webofscience.com%2Fwos%2Fwoscc%2Ffull-record%2FWOS:000080616400008","View Full Record in Web of Science")</f>
        <v>View Full Record in Web of Science</v>
      </c>
    </row>
    <row r="841" spans="1:72" x14ac:dyDescent="0.15">
      <c r="A841" t="s">
        <v>72</v>
      </c>
      <c r="B841" t="s">
        <v>10812</v>
      </c>
      <c r="C841" t="s">
        <v>74</v>
      </c>
      <c r="D841" t="s">
        <v>74</v>
      </c>
      <c r="E841" t="s">
        <v>74</v>
      </c>
      <c r="F841" t="s">
        <v>10812</v>
      </c>
      <c r="G841" t="s">
        <v>74</v>
      </c>
      <c r="H841" t="s">
        <v>74</v>
      </c>
      <c r="I841" t="s">
        <v>10813</v>
      </c>
      <c r="J841" t="s">
        <v>579</v>
      </c>
      <c r="K841" t="s">
        <v>74</v>
      </c>
      <c r="L841" t="s">
        <v>74</v>
      </c>
      <c r="M841" t="s">
        <v>77</v>
      </c>
      <c r="N841" t="s">
        <v>78</v>
      </c>
      <c r="O841" t="s">
        <v>74</v>
      </c>
      <c r="P841" t="s">
        <v>74</v>
      </c>
      <c r="Q841" t="s">
        <v>74</v>
      </c>
      <c r="R841" t="s">
        <v>74</v>
      </c>
      <c r="S841" t="s">
        <v>74</v>
      </c>
      <c r="T841" t="s">
        <v>74</v>
      </c>
      <c r="U841" t="s">
        <v>74</v>
      </c>
      <c r="V841" t="s">
        <v>10814</v>
      </c>
      <c r="W841" t="s">
        <v>10815</v>
      </c>
      <c r="X841" t="s">
        <v>10816</v>
      </c>
      <c r="Y841" t="s">
        <v>10817</v>
      </c>
      <c r="Z841" t="s">
        <v>74</v>
      </c>
      <c r="AA841" t="s">
        <v>74</v>
      </c>
      <c r="AB841" t="s">
        <v>74</v>
      </c>
      <c r="AC841" t="s">
        <v>74</v>
      </c>
      <c r="AD841" t="s">
        <v>74</v>
      </c>
      <c r="AE841" t="s">
        <v>74</v>
      </c>
      <c r="AF841" t="s">
        <v>74</v>
      </c>
      <c r="AG841">
        <v>12</v>
      </c>
      <c r="AH841">
        <v>34</v>
      </c>
      <c r="AI841">
        <v>38</v>
      </c>
      <c r="AJ841">
        <v>1</v>
      </c>
      <c r="AK841">
        <v>19</v>
      </c>
      <c r="AL841" t="s">
        <v>588</v>
      </c>
      <c r="AM841" t="s">
        <v>589</v>
      </c>
      <c r="AN841" t="s">
        <v>590</v>
      </c>
      <c r="AO841" t="s">
        <v>591</v>
      </c>
      <c r="AP841" t="s">
        <v>74</v>
      </c>
      <c r="AQ841" t="s">
        <v>74</v>
      </c>
      <c r="AR841" t="s">
        <v>593</v>
      </c>
      <c r="AS841" t="s">
        <v>594</v>
      </c>
      <c r="AT841" t="s">
        <v>10744</v>
      </c>
      <c r="AU841">
        <v>1999</v>
      </c>
      <c r="AV841">
        <v>31</v>
      </c>
      <c r="AW841">
        <v>1</v>
      </c>
      <c r="AX841" t="s">
        <v>74</v>
      </c>
      <c r="AY841" t="s">
        <v>74</v>
      </c>
      <c r="AZ841" t="s">
        <v>74</v>
      </c>
      <c r="BA841" t="s">
        <v>74</v>
      </c>
      <c r="BB841">
        <v>58</v>
      </c>
      <c r="BC841">
        <v>70</v>
      </c>
      <c r="BD841" t="s">
        <v>74</v>
      </c>
      <c r="BE841" t="s">
        <v>10818</v>
      </c>
      <c r="BF841" t="str">
        <f>HYPERLINK("http://dx.doi.org/10.2307/1552623","http://dx.doi.org/10.2307/1552623")</f>
        <v>http://dx.doi.org/10.2307/1552623</v>
      </c>
      <c r="BG841" t="s">
        <v>74</v>
      </c>
      <c r="BH841" t="s">
        <v>74</v>
      </c>
      <c r="BI841">
        <v>13</v>
      </c>
      <c r="BJ841" t="s">
        <v>596</v>
      </c>
      <c r="BK841" t="s">
        <v>96</v>
      </c>
      <c r="BL841" t="s">
        <v>597</v>
      </c>
      <c r="BM841" t="s">
        <v>10746</v>
      </c>
      <c r="BN841" t="s">
        <v>74</v>
      </c>
      <c r="BO841" t="s">
        <v>250</v>
      </c>
      <c r="BP841" t="s">
        <v>74</v>
      </c>
      <c r="BQ841" t="s">
        <v>74</v>
      </c>
      <c r="BR841" t="s">
        <v>99</v>
      </c>
      <c r="BS841" t="s">
        <v>10819</v>
      </c>
      <c r="BT841" t="str">
        <f>HYPERLINK("https%3A%2F%2Fwww.webofscience.com%2Fwos%2Fwoscc%2Ffull-record%2FWOS:000080616400009","View Full Record in Web of Science")</f>
        <v>View Full Record in Web of Science</v>
      </c>
    </row>
    <row r="842" spans="1:72" x14ac:dyDescent="0.15">
      <c r="A842" t="s">
        <v>72</v>
      </c>
      <c r="B842" t="s">
        <v>10820</v>
      </c>
      <c r="C842" t="s">
        <v>74</v>
      </c>
      <c r="D842" t="s">
        <v>74</v>
      </c>
      <c r="E842" t="s">
        <v>74</v>
      </c>
      <c r="F842" t="s">
        <v>10820</v>
      </c>
      <c r="G842" t="s">
        <v>74</v>
      </c>
      <c r="H842" t="s">
        <v>74</v>
      </c>
      <c r="I842" t="s">
        <v>10821</v>
      </c>
      <c r="J842" t="s">
        <v>579</v>
      </c>
      <c r="K842" t="s">
        <v>74</v>
      </c>
      <c r="L842" t="s">
        <v>74</v>
      </c>
      <c r="M842" t="s">
        <v>77</v>
      </c>
      <c r="N842" t="s">
        <v>78</v>
      </c>
      <c r="O842" t="s">
        <v>74</v>
      </c>
      <c r="P842" t="s">
        <v>74</v>
      </c>
      <c r="Q842" t="s">
        <v>74</v>
      </c>
      <c r="R842" t="s">
        <v>74</v>
      </c>
      <c r="S842" t="s">
        <v>74</v>
      </c>
      <c r="T842" t="s">
        <v>74</v>
      </c>
      <c r="U842" t="s">
        <v>10822</v>
      </c>
      <c r="V842" t="s">
        <v>10823</v>
      </c>
      <c r="W842" t="s">
        <v>10824</v>
      </c>
      <c r="X842" t="s">
        <v>10825</v>
      </c>
      <c r="Y842" t="s">
        <v>10826</v>
      </c>
      <c r="Z842" t="s">
        <v>74</v>
      </c>
      <c r="AA842" t="s">
        <v>10827</v>
      </c>
      <c r="AB842" t="s">
        <v>10828</v>
      </c>
      <c r="AC842" t="s">
        <v>74</v>
      </c>
      <c r="AD842" t="s">
        <v>74</v>
      </c>
      <c r="AE842" t="s">
        <v>74</v>
      </c>
      <c r="AF842" t="s">
        <v>74</v>
      </c>
      <c r="AG842">
        <v>53</v>
      </c>
      <c r="AH842">
        <v>29</v>
      </c>
      <c r="AI842">
        <v>31</v>
      </c>
      <c r="AJ842">
        <v>0</v>
      </c>
      <c r="AK842">
        <v>0</v>
      </c>
      <c r="AL842" t="s">
        <v>588</v>
      </c>
      <c r="AM842" t="s">
        <v>589</v>
      </c>
      <c r="AN842" t="s">
        <v>590</v>
      </c>
      <c r="AO842" t="s">
        <v>591</v>
      </c>
      <c r="AP842" t="s">
        <v>74</v>
      </c>
      <c r="AQ842" t="s">
        <v>74</v>
      </c>
      <c r="AR842" t="s">
        <v>593</v>
      </c>
      <c r="AS842" t="s">
        <v>594</v>
      </c>
      <c r="AT842" t="s">
        <v>10744</v>
      </c>
      <c r="AU842">
        <v>1999</v>
      </c>
      <c r="AV842">
        <v>31</v>
      </c>
      <c r="AW842">
        <v>1</v>
      </c>
      <c r="AX842" t="s">
        <v>74</v>
      </c>
      <c r="AY842" t="s">
        <v>74</v>
      </c>
      <c r="AZ842" t="s">
        <v>74</v>
      </c>
      <c r="BA842" t="s">
        <v>74</v>
      </c>
      <c r="BB842">
        <v>71</v>
      </c>
      <c r="BC842">
        <v>81</v>
      </c>
      <c r="BD842" t="s">
        <v>74</v>
      </c>
      <c r="BE842" t="s">
        <v>10829</v>
      </c>
      <c r="BF842" t="str">
        <f>HYPERLINK("http://dx.doi.org/10.2307/1552624","http://dx.doi.org/10.2307/1552624")</f>
        <v>http://dx.doi.org/10.2307/1552624</v>
      </c>
      <c r="BG842" t="s">
        <v>74</v>
      </c>
      <c r="BH842" t="s">
        <v>74</v>
      </c>
      <c r="BI842">
        <v>11</v>
      </c>
      <c r="BJ842" t="s">
        <v>596</v>
      </c>
      <c r="BK842" t="s">
        <v>96</v>
      </c>
      <c r="BL842" t="s">
        <v>597</v>
      </c>
      <c r="BM842" t="s">
        <v>10746</v>
      </c>
      <c r="BN842" t="s">
        <v>74</v>
      </c>
      <c r="BO842" t="s">
        <v>250</v>
      </c>
      <c r="BP842" t="s">
        <v>74</v>
      </c>
      <c r="BQ842" t="s">
        <v>74</v>
      </c>
      <c r="BR842" t="s">
        <v>99</v>
      </c>
      <c r="BS842" t="s">
        <v>10830</v>
      </c>
      <c r="BT842" t="str">
        <f>HYPERLINK("https%3A%2F%2Fwww.webofscience.com%2Fwos%2Fwoscc%2Ffull-record%2FWOS:000080616400010","View Full Record in Web of Science")</f>
        <v>View Full Record in Web of Science</v>
      </c>
    </row>
    <row r="843" spans="1:72" x14ac:dyDescent="0.15">
      <c r="A843" t="s">
        <v>72</v>
      </c>
      <c r="B843" t="s">
        <v>10831</v>
      </c>
      <c r="C843" t="s">
        <v>74</v>
      </c>
      <c r="D843" t="s">
        <v>74</v>
      </c>
      <c r="E843" t="s">
        <v>74</v>
      </c>
      <c r="F843" t="s">
        <v>10831</v>
      </c>
      <c r="G843" t="s">
        <v>74</v>
      </c>
      <c r="H843" t="s">
        <v>74</v>
      </c>
      <c r="I843" t="s">
        <v>10832</v>
      </c>
      <c r="J843" t="s">
        <v>579</v>
      </c>
      <c r="K843" t="s">
        <v>74</v>
      </c>
      <c r="L843" t="s">
        <v>74</v>
      </c>
      <c r="M843" t="s">
        <v>77</v>
      </c>
      <c r="N843" t="s">
        <v>78</v>
      </c>
      <c r="O843" t="s">
        <v>74</v>
      </c>
      <c r="P843" t="s">
        <v>74</v>
      </c>
      <c r="Q843" t="s">
        <v>74</v>
      </c>
      <c r="R843" t="s">
        <v>74</v>
      </c>
      <c r="S843" t="s">
        <v>74</v>
      </c>
      <c r="T843" t="s">
        <v>74</v>
      </c>
      <c r="U843" t="s">
        <v>10833</v>
      </c>
      <c r="V843" t="s">
        <v>10834</v>
      </c>
      <c r="W843" t="s">
        <v>10835</v>
      </c>
      <c r="X843" t="s">
        <v>10836</v>
      </c>
      <c r="Y843" t="s">
        <v>10837</v>
      </c>
      <c r="Z843" t="s">
        <v>10838</v>
      </c>
      <c r="AA843" t="s">
        <v>10839</v>
      </c>
      <c r="AB843" t="s">
        <v>10840</v>
      </c>
      <c r="AC843" t="s">
        <v>74</v>
      </c>
      <c r="AD843" t="s">
        <v>74</v>
      </c>
      <c r="AE843" t="s">
        <v>74</v>
      </c>
      <c r="AF843" t="s">
        <v>74</v>
      </c>
      <c r="AG843">
        <v>89</v>
      </c>
      <c r="AH843">
        <v>89</v>
      </c>
      <c r="AI843">
        <v>103</v>
      </c>
      <c r="AJ843">
        <v>1</v>
      </c>
      <c r="AK843">
        <v>34</v>
      </c>
      <c r="AL843" t="s">
        <v>1645</v>
      </c>
      <c r="AM843" t="s">
        <v>1646</v>
      </c>
      <c r="AN843" t="s">
        <v>1647</v>
      </c>
      <c r="AO843" t="s">
        <v>591</v>
      </c>
      <c r="AP843" t="s">
        <v>592</v>
      </c>
      <c r="AQ843" t="s">
        <v>74</v>
      </c>
      <c r="AR843" t="s">
        <v>593</v>
      </c>
      <c r="AS843" t="s">
        <v>594</v>
      </c>
      <c r="AT843" t="s">
        <v>10744</v>
      </c>
      <c r="AU843">
        <v>1999</v>
      </c>
      <c r="AV843">
        <v>31</v>
      </c>
      <c r="AW843">
        <v>1</v>
      </c>
      <c r="AX843" t="s">
        <v>74</v>
      </c>
      <c r="AY843" t="s">
        <v>74</v>
      </c>
      <c r="AZ843" t="s">
        <v>74</v>
      </c>
      <c r="BA843" t="s">
        <v>74</v>
      </c>
      <c r="BB843">
        <v>82</v>
      </c>
      <c r="BC843">
        <v>93</v>
      </c>
      <c r="BD843" t="s">
        <v>74</v>
      </c>
      <c r="BE843" t="s">
        <v>10841</v>
      </c>
      <c r="BF843" t="str">
        <f>HYPERLINK("http://dx.doi.org/10.2307/1552625","http://dx.doi.org/10.2307/1552625")</f>
        <v>http://dx.doi.org/10.2307/1552625</v>
      </c>
      <c r="BG843" t="s">
        <v>74</v>
      </c>
      <c r="BH843" t="s">
        <v>74</v>
      </c>
      <c r="BI843">
        <v>12</v>
      </c>
      <c r="BJ843" t="s">
        <v>596</v>
      </c>
      <c r="BK843" t="s">
        <v>96</v>
      </c>
      <c r="BL843" t="s">
        <v>597</v>
      </c>
      <c r="BM843" t="s">
        <v>10746</v>
      </c>
      <c r="BN843" t="s">
        <v>74</v>
      </c>
      <c r="BO843" t="s">
        <v>74</v>
      </c>
      <c r="BP843" t="s">
        <v>74</v>
      </c>
      <c r="BQ843" t="s">
        <v>74</v>
      </c>
      <c r="BR843" t="s">
        <v>99</v>
      </c>
      <c r="BS843" t="s">
        <v>10842</v>
      </c>
      <c r="BT843" t="str">
        <f>HYPERLINK("https%3A%2F%2Fwww.webofscience.com%2Fwos%2Fwoscc%2Ffull-record%2FWOS:000080616400011","View Full Record in Web of Science")</f>
        <v>View Full Record in Web of Science</v>
      </c>
    </row>
    <row r="844" spans="1:72" x14ac:dyDescent="0.15">
      <c r="A844" t="s">
        <v>72</v>
      </c>
      <c r="B844" t="s">
        <v>10843</v>
      </c>
      <c r="C844" t="s">
        <v>74</v>
      </c>
      <c r="D844" t="s">
        <v>74</v>
      </c>
      <c r="E844" t="s">
        <v>74</v>
      </c>
      <c r="F844" t="s">
        <v>10843</v>
      </c>
      <c r="G844" t="s">
        <v>74</v>
      </c>
      <c r="H844" t="s">
        <v>74</v>
      </c>
      <c r="I844" t="s">
        <v>10844</v>
      </c>
      <c r="J844" t="s">
        <v>579</v>
      </c>
      <c r="K844" t="s">
        <v>74</v>
      </c>
      <c r="L844" t="s">
        <v>74</v>
      </c>
      <c r="M844" t="s">
        <v>77</v>
      </c>
      <c r="N844" t="s">
        <v>78</v>
      </c>
      <c r="O844" t="s">
        <v>74</v>
      </c>
      <c r="P844" t="s">
        <v>74</v>
      </c>
      <c r="Q844" t="s">
        <v>74</v>
      </c>
      <c r="R844" t="s">
        <v>74</v>
      </c>
      <c r="S844" t="s">
        <v>74</v>
      </c>
      <c r="T844" t="s">
        <v>74</v>
      </c>
      <c r="U844" t="s">
        <v>10845</v>
      </c>
      <c r="V844" t="s">
        <v>10846</v>
      </c>
      <c r="W844" t="s">
        <v>10807</v>
      </c>
      <c r="X844" t="s">
        <v>7711</v>
      </c>
      <c r="Y844" t="s">
        <v>10847</v>
      </c>
      <c r="Z844" t="s">
        <v>74</v>
      </c>
      <c r="AA844" t="s">
        <v>10848</v>
      </c>
      <c r="AB844" t="s">
        <v>10849</v>
      </c>
      <c r="AC844" t="s">
        <v>74</v>
      </c>
      <c r="AD844" t="s">
        <v>74</v>
      </c>
      <c r="AE844" t="s">
        <v>74</v>
      </c>
      <c r="AF844" t="s">
        <v>74</v>
      </c>
      <c r="AG844">
        <v>9</v>
      </c>
      <c r="AH844">
        <v>24</v>
      </c>
      <c r="AI844">
        <v>24</v>
      </c>
      <c r="AJ844">
        <v>1</v>
      </c>
      <c r="AK844">
        <v>6</v>
      </c>
      <c r="AL844" t="s">
        <v>588</v>
      </c>
      <c r="AM844" t="s">
        <v>589</v>
      </c>
      <c r="AN844" t="s">
        <v>590</v>
      </c>
      <c r="AO844" t="s">
        <v>591</v>
      </c>
      <c r="AP844" t="s">
        <v>74</v>
      </c>
      <c r="AQ844" t="s">
        <v>74</v>
      </c>
      <c r="AR844" t="s">
        <v>593</v>
      </c>
      <c r="AS844" t="s">
        <v>594</v>
      </c>
      <c r="AT844" t="s">
        <v>10744</v>
      </c>
      <c r="AU844">
        <v>1999</v>
      </c>
      <c r="AV844">
        <v>31</v>
      </c>
      <c r="AW844">
        <v>1</v>
      </c>
      <c r="AX844" t="s">
        <v>74</v>
      </c>
      <c r="AY844" t="s">
        <v>74</v>
      </c>
      <c r="AZ844" t="s">
        <v>74</v>
      </c>
      <c r="BA844" t="s">
        <v>74</v>
      </c>
      <c r="BB844">
        <v>94</v>
      </c>
      <c r="BC844">
        <v>98</v>
      </c>
      <c r="BD844" t="s">
        <v>74</v>
      </c>
      <c r="BE844" t="s">
        <v>10850</v>
      </c>
      <c r="BF844" t="str">
        <f>HYPERLINK("http://dx.doi.org/10.2307/1552626","http://dx.doi.org/10.2307/1552626")</f>
        <v>http://dx.doi.org/10.2307/1552626</v>
      </c>
      <c r="BG844" t="s">
        <v>74</v>
      </c>
      <c r="BH844" t="s">
        <v>74</v>
      </c>
      <c r="BI844">
        <v>5</v>
      </c>
      <c r="BJ844" t="s">
        <v>596</v>
      </c>
      <c r="BK844" t="s">
        <v>96</v>
      </c>
      <c r="BL844" t="s">
        <v>597</v>
      </c>
      <c r="BM844" t="s">
        <v>10746</v>
      </c>
      <c r="BN844" t="s">
        <v>74</v>
      </c>
      <c r="BO844" t="s">
        <v>74</v>
      </c>
      <c r="BP844" t="s">
        <v>74</v>
      </c>
      <c r="BQ844" t="s">
        <v>74</v>
      </c>
      <c r="BR844" t="s">
        <v>99</v>
      </c>
      <c r="BS844" t="s">
        <v>10851</v>
      </c>
      <c r="BT844" t="str">
        <f>HYPERLINK("https%3A%2F%2Fwww.webofscience.com%2Fwos%2Fwoscc%2Ffull-record%2FWOS:000080616400012","View Full Record in Web of Science")</f>
        <v>View Full Record in Web of Science</v>
      </c>
    </row>
    <row r="845" spans="1:72" x14ac:dyDescent="0.15">
      <c r="A845" t="s">
        <v>72</v>
      </c>
      <c r="B845" t="s">
        <v>10852</v>
      </c>
      <c r="C845" t="s">
        <v>74</v>
      </c>
      <c r="D845" t="s">
        <v>74</v>
      </c>
      <c r="E845" t="s">
        <v>74</v>
      </c>
      <c r="F845" t="s">
        <v>10852</v>
      </c>
      <c r="G845" t="s">
        <v>74</v>
      </c>
      <c r="H845" t="s">
        <v>74</v>
      </c>
      <c r="I845" t="s">
        <v>10853</v>
      </c>
      <c r="J845" t="s">
        <v>579</v>
      </c>
      <c r="K845" t="s">
        <v>74</v>
      </c>
      <c r="L845" t="s">
        <v>74</v>
      </c>
      <c r="M845" t="s">
        <v>77</v>
      </c>
      <c r="N845" t="s">
        <v>78</v>
      </c>
      <c r="O845" t="s">
        <v>74</v>
      </c>
      <c r="P845" t="s">
        <v>74</v>
      </c>
      <c r="Q845" t="s">
        <v>74</v>
      </c>
      <c r="R845" t="s">
        <v>74</v>
      </c>
      <c r="S845" t="s">
        <v>74</v>
      </c>
      <c r="T845" t="s">
        <v>74</v>
      </c>
      <c r="U845" t="s">
        <v>10854</v>
      </c>
      <c r="V845" t="s">
        <v>10855</v>
      </c>
      <c r="W845" t="s">
        <v>10856</v>
      </c>
      <c r="X845" t="s">
        <v>10857</v>
      </c>
      <c r="Y845" t="s">
        <v>10858</v>
      </c>
      <c r="Z845" t="s">
        <v>10859</v>
      </c>
      <c r="AA845" t="s">
        <v>10860</v>
      </c>
      <c r="AB845" t="s">
        <v>10861</v>
      </c>
      <c r="AC845" t="s">
        <v>74</v>
      </c>
      <c r="AD845" t="s">
        <v>74</v>
      </c>
      <c r="AE845" t="s">
        <v>74</v>
      </c>
      <c r="AF845" t="s">
        <v>74</v>
      </c>
      <c r="AG845">
        <v>29</v>
      </c>
      <c r="AH845">
        <v>5</v>
      </c>
      <c r="AI845">
        <v>7</v>
      </c>
      <c r="AJ845">
        <v>0</v>
      </c>
      <c r="AK845">
        <v>4</v>
      </c>
      <c r="AL845" t="s">
        <v>588</v>
      </c>
      <c r="AM845" t="s">
        <v>589</v>
      </c>
      <c r="AN845" t="s">
        <v>590</v>
      </c>
      <c r="AO845" t="s">
        <v>591</v>
      </c>
      <c r="AP845" t="s">
        <v>592</v>
      </c>
      <c r="AQ845" t="s">
        <v>74</v>
      </c>
      <c r="AR845" t="s">
        <v>593</v>
      </c>
      <c r="AS845" t="s">
        <v>594</v>
      </c>
      <c r="AT845" t="s">
        <v>10744</v>
      </c>
      <c r="AU845">
        <v>1999</v>
      </c>
      <c r="AV845">
        <v>31</v>
      </c>
      <c r="AW845">
        <v>1</v>
      </c>
      <c r="AX845" t="s">
        <v>74</v>
      </c>
      <c r="AY845" t="s">
        <v>74</v>
      </c>
      <c r="AZ845" t="s">
        <v>74</v>
      </c>
      <c r="BA845" t="s">
        <v>74</v>
      </c>
      <c r="BB845">
        <v>99</v>
      </c>
      <c r="BC845">
        <v>107</v>
      </c>
      <c r="BD845" t="s">
        <v>74</v>
      </c>
      <c r="BE845" t="s">
        <v>10862</v>
      </c>
      <c r="BF845" t="str">
        <f>HYPERLINK("http://dx.doi.org/10.2307/1552627","http://dx.doi.org/10.2307/1552627")</f>
        <v>http://dx.doi.org/10.2307/1552627</v>
      </c>
      <c r="BG845" t="s">
        <v>74</v>
      </c>
      <c r="BH845" t="s">
        <v>74</v>
      </c>
      <c r="BI845">
        <v>9</v>
      </c>
      <c r="BJ845" t="s">
        <v>596</v>
      </c>
      <c r="BK845" t="s">
        <v>96</v>
      </c>
      <c r="BL845" t="s">
        <v>597</v>
      </c>
      <c r="BM845" t="s">
        <v>10746</v>
      </c>
      <c r="BN845" t="s">
        <v>74</v>
      </c>
      <c r="BO845" t="s">
        <v>74</v>
      </c>
      <c r="BP845" t="s">
        <v>74</v>
      </c>
      <c r="BQ845" t="s">
        <v>74</v>
      </c>
      <c r="BR845" t="s">
        <v>99</v>
      </c>
      <c r="BS845" t="s">
        <v>10863</v>
      </c>
      <c r="BT845" t="str">
        <f>HYPERLINK("https%3A%2F%2Fwww.webofscience.com%2Fwos%2Fwoscc%2Ffull-record%2FWOS:000080616400013","View Full Record in Web of Science")</f>
        <v>View Full Record in Web of Science</v>
      </c>
    </row>
    <row r="846" spans="1:72" x14ac:dyDescent="0.15">
      <c r="A846" t="s">
        <v>72</v>
      </c>
      <c r="B846" t="s">
        <v>10864</v>
      </c>
      <c r="C846" t="s">
        <v>74</v>
      </c>
      <c r="D846" t="s">
        <v>74</v>
      </c>
      <c r="E846" t="s">
        <v>74</v>
      </c>
      <c r="F846" t="s">
        <v>10864</v>
      </c>
      <c r="G846" t="s">
        <v>74</v>
      </c>
      <c r="H846" t="s">
        <v>74</v>
      </c>
      <c r="I846" t="s">
        <v>10865</v>
      </c>
      <c r="J846" t="s">
        <v>579</v>
      </c>
      <c r="K846" t="s">
        <v>74</v>
      </c>
      <c r="L846" t="s">
        <v>74</v>
      </c>
      <c r="M846" t="s">
        <v>77</v>
      </c>
      <c r="N846" t="s">
        <v>78</v>
      </c>
      <c r="O846" t="s">
        <v>74</v>
      </c>
      <c r="P846" t="s">
        <v>74</v>
      </c>
      <c r="Q846" t="s">
        <v>74</v>
      </c>
      <c r="R846" t="s">
        <v>74</v>
      </c>
      <c r="S846" t="s">
        <v>74</v>
      </c>
      <c r="T846" t="s">
        <v>74</v>
      </c>
      <c r="U846" t="s">
        <v>10866</v>
      </c>
      <c r="V846" t="s">
        <v>10867</v>
      </c>
      <c r="W846" t="s">
        <v>10868</v>
      </c>
      <c r="X846" t="s">
        <v>10869</v>
      </c>
      <c r="Y846" t="s">
        <v>10870</v>
      </c>
      <c r="Z846" t="s">
        <v>74</v>
      </c>
      <c r="AA846" t="s">
        <v>74</v>
      </c>
      <c r="AB846" t="s">
        <v>74</v>
      </c>
      <c r="AC846" t="s">
        <v>74</v>
      </c>
      <c r="AD846" t="s">
        <v>74</v>
      </c>
      <c r="AE846" t="s">
        <v>74</v>
      </c>
      <c r="AF846" t="s">
        <v>74</v>
      </c>
      <c r="AG846">
        <v>48</v>
      </c>
      <c r="AH846">
        <v>16</v>
      </c>
      <c r="AI846">
        <v>16</v>
      </c>
      <c r="AJ846">
        <v>0</v>
      </c>
      <c r="AK846">
        <v>8</v>
      </c>
      <c r="AL846" t="s">
        <v>588</v>
      </c>
      <c r="AM846" t="s">
        <v>589</v>
      </c>
      <c r="AN846" t="s">
        <v>590</v>
      </c>
      <c r="AO846" t="s">
        <v>591</v>
      </c>
      <c r="AP846" t="s">
        <v>74</v>
      </c>
      <c r="AQ846" t="s">
        <v>74</v>
      </c>
      <c r="AR846" t="s">
        <v>593</v>
      </c>
      <c r="AS846" t="s">
        <v>594</v>
      </c>
      <c r="AT846" t="s">
        <v>10744</v>
      </c>
      <c r="AU846">
        <v>1999</v>
      </c>
      <c r="AV846">
        <v>31</v>
      </c>
      <c r="AW846">
        <v>1</v>
      </c>
      <c r="AX846" t="s">
        <v>74</v>
      </c>
      <c r="AY846" t="s">
        <v>74</v>
      </c>
      <c r="AZ846" t="s">
        <v>74</v>
      </c>
      <c r="BA846" t="s">
        <v>74</v>
      </c>
      <c r="BB846">
        <v>108</v>
      </c>
      <c r="BC846">
        <v>117</v>
      </c>
      <c r="BD846" t="s">
        <v>74</v>
      </c>
      <c r="BE846" t="s">
        <v>10871</v>
      </c>
      <c r="BF846" t="str">
        <f>HYPERLINK("http://dx.doi.org/10.2307/1552628","http://dx.doi.org/10.2307/1552628")</f>
        <v>http://dx.doi.org/10.2307/1552628</v>
      </c>
      <c r="BG846" t="s">
        <v>74</v>
      </c>
      <c r="BH846" t="s">
        <v>74</v>
      </c>
      <c r="BI846">
        <v>10</v>
      </c>
      <c r="BJ846" t="s">
        <v>596</v>
      </c>
      <c r="BK846" t="s">
        <v>96</v>
      </c>
      <c r="BL846" t="s">
        <v>597</v>
      </c>
      <c r="BM846" t="s">
        <v>10746</v>
      </c>
      <c r="BN846" t="s">
        <v>74</v>
      </c>
      <c r="BO846" t="s">
        <v>250</v>
      </c>
      <c r="BP846" t="s">
        <v>74</v>
      </c>
      <c r="BQ846" t="s">
        <v>74</v>
      </c>
      <c r="BR846" t="s">
        <v>99</v>
      </c>
      <c r="BS846" t="s">
        <v>10872</v>
      </c>
      <c r="BT846" t="str">
        <f>HYPERLINK("https%3A%2F%2Fwww.webofscience.com%2Fwos%2Fwoscc%2Ffull-record%2FWOS:000080616400014","View Full Record in Web of Science")</f>
        <v>View Full Record in Web of Science</v>
      </c>
    </row>
    <row r="847" spans="1:72" x14ac:dyDescent="0.15">
      <c r="A847" t="s">
        <v>72</v>
      </c>
      <c r="B847" t="s">
        <v>3311</v>
      </c>
      <c r="C847" t="s">
        <v>74</v>
      </c>
      <c r="D847" t="s">
        <v>74</v>
      </c>
      <c r="E847" t="s">
        <v>74</v>
      </c>
      <c r="F847" t="s">
        <v>3311</v>
      </c>
      <c r="G847" t="s">
        <v>74</v>
      </c>
      <c r="H847" t="s">
        <v>74</v>
      </c>
      <c r="I847" t="s">
        <v>10873</v>
      </c>
      <c r="J847" t="s">
        <v>9943</v>
      </c>
      <c r="K847" t="s">
        <v>74</v>
      </c>
      <c r="L847" t="s">
        <v>74</v>
      </c>
      <c r="M847" t="s">
        <v>77</v>
      </c>
      <c r="N847" t="s">
        <v>78</v>
      </c>
      <c r="O847" t="s">
        <v>74</v>
      </c>
      <c r="P847" t="s">
        <v>74</v>
      </c>
      <c r="Q847" t="s">
        <v>74</v>
      </c>
      <c r="R847" t="s">
        <v>74</v>
      </c>
      <c r="S847" t="s">
        <v>74</v>
      </c>
      <c r="T847" t="s">
        <v>10874</v>
      </c>
      <c r="U847" t="s">
        <v>10875</v>
      </c>
      <c r="V847" t="s">
        <v>10876</v>
      </c>
      <c r="W847" t="s">
        <v>10877</v>
      </c>
      <c r="X847" t="s">
        <v>131</v>
      </c>
      <c r="Y847" t="s">
        <v>10878</v>
      </c>
      <c r="Z847" t="s">
        <v>74</v>
      </c>
      <c r="AA847" t="s">
        <v>74</v>
      </c>
      <c r="AB847" t="s">
        <v>74</v>
      </c>
      <c r="AC847" t="s">
        <v>74</v>
      </c>
      <c r="AD847" t="s">
        <v>74</v>
      </c>
      <c r="AE847" t="s">
        <v>74</v>
      </c>
      <c r="AF847" t="s">
        <v>74</v>
      </c>
      <c r="AG847">
        <v>35</v>
      </c>
      <c r="AH847">
        <v>35</v>
      </c>
      <c r="AI847">
        <v>37</v>
      </c>
      <c r="AJ847">
        <v>2</v>
      </c>
      <c r="AK847">
        <v>2</v>
      </c>
      <c r="AL847" t="s">
        <v>9951</v>
      </c>
      <c r="AM847" t="s">
        <v>9952</v>
      </c>
      <c r="AN847" t="s">
        <v>9953</v>
      </c>
      <c r="AO847" t="s">
        <v>9954</v>
      </c>
      <c r="AP847" t="s">
        <v>74</v>
      </c>
      <c r="AQ847" t="s">
        <v>74</v>
      </c>
      <c r="AR847" t="s">
        <v>9955</v>
      </c>
      <c r="AS847" t="s">
        <v>9956</v>
      </c>
      <c r="AT847" t="s">
        <v>10744</v>
      </c>
      <c r="AU847">
        <v>1999</v>
      </c>
      <c r="AV847">
        <v>70</v>
      </c>
      <c r="AW847">
        <v>2</v>
      </c>
      <c r="AX847" t="s">
        <v>74</v>
      </c>
      <c r="AY847" t="s">
        <v>74</v>
      </c>
      <c r="AZ847" t="s">
        <v>74</v>
      </c>
      <c r="BA847" t="s">
        <v>74</v>
      </c>
      <c r="BB847">
        <v>135</v>
      </c>
      <c r="BC847">
        <v>140</v>
      </c>
      <c r="BD847" t="s">
        <v>74</v>
      </c>
      <c r="BE847" t="s">
        <v>74</v>
      </c>
      <c r="BF847" t="s">
        <v>74</v>
      </c>
      <c r="BG847" t="s">
        <v>74</v>
      </c>
      <c r="BH847" t="s">
        <v>74</v>
      </c>
      <c r="BI847">
        <v>6</v>
      </c>
      <c r="BJ847" t="s">
        <v>9957</v>
      </c>
      <c r="BK847" t="s">
        <v>96</v>
      </c>
      <c r="BL847" t="s">
        <v>9958</v>
      </c>
      <c r="BM847" t="s">
        <v>10879</v>
      </c>
      <c r="BN847">
        <v>10206932</v>
      </c>
      <c r="BO847" t="s">
        <v>74</v>
      </c>
      <c r="BP847" t="s">
        <v>74</v>
      </c>
      <c r="BQ847" t="s">
        <v>74</v>
      </c>
      <c r="BR847" t="s">
        <v>99</v>
      </c>
      <c r="BS847" t="s">
        <v>10880</v>
      </c>
      <c r="BT847" t="str">
        <f>HYPERLINK("https%3A%2F%2Fwww.webofscience.com%2Fwos%2Fwoscc%2Ffull-record%2FWOS:000078329100006","View Full Record in Web of Science")</f>
        <v>View Full Record in Web of Science</v>
      </c>
    </row>
    <row r="848" spans="1:72" x14ac:dyDescent="0.15">
      <c r="A848" t="s">
        <v>72</v>
      </c>
      <c r="B848" t="s">
        <v>10881</v>
      </c>
      <c r="C848" t="s">
        <v>74</v>
      </c>
      <c r="D848" t="s">
        <v>74</v>
      </c>
      <c r="E848" t="s">
        <v>74</v>
      </c>
      <c r="F848" t="s">
        <v>10881</v>
      </c>
      <c r="G848" t="s">
        <v>74</v>
      </c>
      <c r="H848" t="s">
        <v>74</v>
      </c>
      <c r="I848" t="s">
        <v>10882</v>
      </c>
      <c r="J848" t="s">
        <v>10883</v>
      </c>
      <c r="K848" t="s">
        <v>74</v>
      </c>
      <c r="L848" t="s">
        <v>74</v>
      </c>
      <c r="M848" t="s">
        <v>77</v>
      </c>
      <c r="N848" t="s">
        <v>78</v>
      </c>
      <c r="O848" t="s">
        <v>74</v>
      </c>
      <c r="P848" t="s">
        <v>74</v>
      </c>
      <c r="Q848" t="s">
        <v>74</v>
      </c>
      <c r="R848" t="s">
        <v>74</v>
      </c>
      <c r="S848" t="s">
        <v>74</v>
      </c>
      <c r="T848" t="s">
        <v>74</v>
      </c>
      <c r="U848" t="s">
        <v>10884</v>
      </c>
      <c r="V848" t="s">
        <v>10885</v>
      </c>
      <c r="W848" t="s">
        <v>10886</v>
      </c>
      <c r="X848" t="s">
        <v>10887</v>
      </c>
      <c r="Y848" t="s">
        <v>10888</v>
      </c>
      <c r="Z848" t="s">
        <v>10889</v>
      </c>
      <c r="AA848" t="s">
        <v>10890</v>
      </c>
      <c r="AB848" t="s">
        <v>10891</v>
      </c>
      <c r="AC848" t="s">
        <v>74</v>
      </c>
      <c r="AD848" t="s">
        <v>74</v>
      </c>
      <c r="AE848" t="s">
        <v>74</v>
      </c>
      <c r="AF848" t="s">
        <v>74</v>
      </c>
      <c r="AG848">
        <v>43</v>
      </c>
      <c r="AH848">
        <v>15</v>
      </c>
      <c r="AI848">
        <v>16</v>
      </c>
      <c r="AJ848">
        <v>1</v>
      </c>
      <c r="AK848">
        <v>10</v>
      </c>
      <c r="AL848" t="s">
        <v>6217</v>
      </c>
      <c r="AM848" t="s">
        <v>6218</v>
      </c>
      <c r="AN848" t="s">
        <v>10892</v>
      </c>
      <c r="AO848" t="s">
        <v>10893</v>
      </c>
      <c r="AP848" t="s">
        <v>10894</v>
      </c>
      <c r="AQ848" t="s">
        <v>74</v>
      </c>
      <c r="AR848" t="s">
        <v>10895</v>
      </c>
      <c r="AS848" t="s">
        <v>10896</v>
      </c>
      <c r="AT848" t="s">
        <v>10744</v>
      </c>
      <c r="AU848">
        <v>1999</v>
      </c>
      <c r="AV848">
        <v>196</v>
      </c>
      <c r="AW848">
        <v>1</v>
      </c>
      <c r="AX848" t="s">
        <v>74</v>
      </c>
      <c r="AY848" t="s">
        <v>74</v>
      </c>
      <c r="AZ848" t="s">
        <v>74</v>
      </c>
      <c r="BA848" t="s">
        <v>74</v>
      </c>
      <c r="BB848">
        <v>94</v>
      </c>
      <c r="BC848">
        <v>104</v>
      </c>
      <c r="BD848" t="s">
        <v>74</v>
      </c>
      <c r="BE848" t="s">
        <v>10897</v>
      </c>
      <c r="BF848" t="str">
        <f>HYPERLINK("http://dx.doi.org/10.2307/1543171","http://dx.doi.org/10.2307/1543171")</f>
        <v>http://dx.doi.org/10.2307/1543171</v>
      </c>
      <c r="BG848" t="s">
        <v>74</v>
      </c>
      <c r="BH848" t="s">
        <v>74</v>
      </c>
      <c r="BI848">
        <v>11</v>
      </c>
      <c r="BJ848" t="s">
        <v>10898</v>
      </c>
      <c r="BK848" t="s">
        <v>96</v>
      </c>
      <c r="BL848" t="s">
        <v>10899</v>
      </c>
      <c r="BM848" t="s">
        <v>10900</v>
      </c>
      <c r="BN848">
        <v>25575389</v>
      </c>
      <c r="BO848" t="s">
        <v>1214</v>
      </c>
      <c r="BP848" t="s">
        <v>74</v>
      </c>
      <c r="BQ848" t="s">
        <v>74</v>
      </c>
      <c r="BR848" t="s">
        <v>99</v>
      </c>
      <c r="BS848" t="s">
        <v>10901</v>
      </c>
      <c r="BT848" t="str">
        <f>HYPERLINK("https%3A%2F%2Fwww.webofscience.com%2Fwos%2Fwoscc%2Ffull-record%2FWOS:000078835400011","View Full Record in Web of Science")</f>
        <v>View Full Record in Web of Science</v>
      </c>
    </row>
    <row r="849" spans="1:72" x14ac:dyDescent="0.15">
      <c r="A849" t="s">
        <v>72</v>
      </c>
      <c r="B849" t="s">
        <v>10902</v>
      </c>
      <c r="C849" t="s">
        <v>74</v>
      </c>
      <c r="D849" t="s">
        <v>74</v>
      </c>
      <c r="E849" t="s">
        <v>74</v>
      </c>
      <c r="F849" t="s">
        <v>10902</v>
      </c>
      <c r="G849" t="s">
        <v>74</v>
      </c>
      <c r="H849" t="s">
        <v>74</v>
      </c>
      <c r="I849" t="s">
        <v>10903</v>
      </c>
      <c r="J849" t="s">
        <v>10904</v>
      </c>
      <c r="K849" t="s">
        <v>74</v>
      </c>
      <c r="L849" t="s">
        <v>74</v>
      </c>
      <c r="M849" t="s">
        <v>77</v>
      </c>
      <c r="N849" t="s">
        <v>78</v>
      </c>
      <c r="O849" t="s">
        <v>74</v>
      </c>
      <c r="P849" t="s">
        <v>74</v>
      </c>
      <c r="Q849" t="s">
        <v>74</v>
      </c>
      <c r="R849" t="s">
        <v>74</v>
      </c>
      <c r="S849" t="s">
        <v>74</v>
      </c>
      <c r="T849" t="s">
        <v>10905</v>
      </c>
      <c r="U849" t="s">
        <v>10906</v>
      </c>
      <c r="V849" t="s">
        <v>10907</v>
      </c>
      <c r="W849" t="s">
        <v>10908</v>
      </c>
      <c r="X849" t="s">
        <v>10909</v>
      </c>
      <c r="Y849" t="s">
        <v>10910</v>
      </c>
      <c r="Z849" t="s">
        <v>74</v>
      </c>
      <c r="AA849" t="s">
        <v>10911</v>
      </c>
      <c r="AB849" t="s">
        <v>10912</v>
      </c>
      <c r="AC849" t="s">
        <v>74</v>
      </c>
      <c r="AD849" t="s">
        <v>74</v>
      </c>
      <c r="AE849" t="s">
        <v>74</v>
      </c>
      <c r="AF849" t="s">
        <v>74</v>
      </c>
      <c r="AG849">
        <v>13</v>
      </c>
      <c r="AH849">
        <v>100</v>
      </c>
      <c r="AI849">
        <v>107</v>
      </c>
      <c r="AJ849">
        <v>1</v>
      </c>
      <c r="AK849">
        <v>21</v>
      </c>
      <c r="AL849" t="s">
        <v>1427</v>
      </c>
      <c r="AM849" t="s">
        <v>276</v>
      </c>
      <c r="AN849" t="s">
        <v>1428</v>
      </c>
      <c r="AO849" t="s">
        <v>10913</v>
      </c>
      <c r="AP849" t="s">
        <v>74</v>
      </c>
      <c r="AQ849" t="s">
        <v>74</v>
      </c>
      <c r="AR849" t="s">
        <v>10914</v>
      </c>
      <c r="AS849" t="s">
        <v>10915</v>
      </c>
      <c r="AT849" t="s">
        <v>10744</v>
      </c>
      <c r="AU849">
        <v>1999</v>
      </c>
      <c r="AV849">
        <v>87</v>
      </c>
      <c r="AW849">
        <v>2</v>
      </c>
      <c r="AX849" t="s">
        <v>74</v>
      </c>
      <c r="AY849" t="s">
        <v>74</v>
      </c>
      <c r="AZ849" t="s">
        <v>74</v>
      </c>
      <c r="BA849" t="s">
        <v>74</v>
      </c>
      <c r="BB849">
        <v>273</v>
      </c>
      <c r="BC849">
        <v>275</v>
      </c>
      <c r="BD849" t="s">
        <v>74</v>
      </c>
      <c r="BE849" t="s">
        <v>10916</v>
      </c>
      <c r="BF849" t="str">
        <f>HYPERLINK("http://dx.doi.org/10.1016/S0006-3207(98)00039-1","http://dx.doi.org/10.1016/S0006-3207(98)00039-1")</f>
        <v>http://dx.doi.org/10.1016/S0006-3207(98)00039-1</v>
      </c>
      <c r="BG849" t="s">
        <v>74</v>
      </c>
      <c r="BH849" t="s">
        <v>74</v>
      </c>
      <c r="BI849">
        <v>3</v>
      </c>
      <c r="BJ849" t="s">
        <v>9017</v>
      </c>
      <c r="BK849" t="s">
        <v>96</v>
      </c>
      <c r="BL849" t="s">
        <v>1384</v>
      </c>
      <c r="BM849" t="s">
        <v>10917</v>
      </c>
      <c r="BN849" t="s">
        <v>74</v>
      </c>
      <c r="BO849" t="s">
        <v>74</v>
      </c>
      <c r="BP849" t="s">
        <v>74</v>
      </c>
      <c r="BQ849" t="s">
        <v>74</v>
      </c>
      <c r="BR849" t="s">
        <v>99</v>
      </c>
      <c r="BS849" t="s">
        <v>10918</v>
      </c>
      <c r="BT849" t="str">
        <f>HYPERLINK("https%3A%2F%2Fwww.webofscience.com%2Fwos%2Fwoscc%2Ffull-record%2FWOS:000077491900014","View Full Record in Web of Science")</f>
        <v>View Full Record in Web of Science</v>
      </c>
    </row>
    <row r="850" spans="1:72" x14ac:dyDescent="0.15">
      <c r="A850" t="s">
        <v>72</v>
      </c>
      <c r="B850" t="s">
        <v>10919</v>
      </c>
      <c r="C850" t="s">
        <v>74</v>
      </c>
      <c r="D850" t="s">
        <v>74</v>
      </c>
      <c r="E850" t="s">
        <v>74</v>
      </c>
      <c r="F850" t="s">
        <v>10919</v>
      </c>
      <c r="G850" t="s">
        <v>74</v>
      </c>
      <c r="H850" t="s">
        <v>74</v>
      </c>
      <c r="I850" t="s">
        <v>10920</v>
      </c>
      <c r="J850" t="s">
        <v>4405</v>
      </c>
      <c r="K850" t="s">
        <v>74</v>
      </c>
      <c r="L850" t="s">
        <v>74</v>
      </c>
      <c r="M850" t="s">
        <v>77</v>
      </c>
      <c r="N850" t="s">
        <v>254</v>
      </c>
      <c r="O850" t="s">
        <v>74</v>
      </c>
      <c r="P850" t="s">
        <v>74</v>
      </c>
      <c r="Q850" t="s">
        <v>74</v>
      </c>
      <c r="R850" t="s">
        <v>74</v>
      </c>
      <c r="S850" t="s">
        <v>74</v>
      </c>
      <c r="T850" t="s">
        <v>10921</v>
      </c>
      <c r="U850" t="s">
        <v>10922</v>
      </c>
      <c r="V850" t="s">
        <v>10923</v>
      </c>
      <c r="W850" t="s">
        <v>10924</v>
      </c>
      <c r="X850" t="s">
        <v>10925</v>
      </c>
      <c r="Y850" t="s">
        <v>10926</v>
      </c>
      <c r="Z850" t="s">
        <v>10927</v>
      </c>
      <c r="AA850" t="s">
        <v>10928</v>
      </c>
      <c r="AB850" t="s">
        <v>74</v>
      </c>
      <c r="AC850" t="s">
        <v>74</v>
      </c>
      <c r="AD850" t="s">
        <v>74</v>
      </c>
      <c r="AE850" t="s">
        <v>74</v>
      </c>
      <c r="AF850" t="s">
        <v>74</v>
      </c>
      <c r="AG850">
        <v>378</v>
      </c>
      <c r="AH850">
        <v>325</v>
      </c>
      <c r="AI850">
        <v>362</v>
      </c>
      <c r="AJ850">
        <v>2</v>
      </c>
      <c r="AK850">
        <v>200</v>
      </c>
      <c r="AL850" t="s">
        <v>997</v>
      </c>
      <c r="AM850" t="s">
        <v>998</v>
      </c>
      <c r="AN850" t="s">
        <v>999</v>
      </c>
      <c r="AO850" t="s">
        <v>4412</v>
      </c>
      <c r="AP850" t="s">
        <v>4413</v>
      </c>
      <c r="AQ850" t="s">
        <v>74</v>
      </c>
      <c r="AR850" t="s">
        <v>4414</v>
      </c>
      <c r="AS850" t="s">
        <v>4415</v>
      </c>
      <c r="AT850" t="s">
        <v>10744</v>
      </c>
      <c r="AU850">
        <v>1999</v>
      </c>
      <c r="AV850">
        <v>74</v>
      </c>
      <c r="AW850">
        <v>1</v>
      </c>
      <c r="AX850" t="s">
        <v>74</v>
      </c>
      <c r="AY850" t="s">
        <v>74</v>
      </c>
      <c r="AZ850" t="s">
        <v>74</v>
      </c>
      <c r="BA850" t="s">
        <v>74</v>
      </c>
      <c r="BB850">
        <v>87</v>
      </c>
      <c r="BC850">
        <v>120</v>
      </c>
      <c r="BD850" t="s">
        <v>74</v>
      </c>
      <c r="BE850" t="s">
        <v>10929</v>
      </c>
      <c r="BF850" t="str">
        <f>HYPERLINK("http://dx.doi.org/10.1017/S000632319800526X","http://dx.doi.org/10.1017/S000632319800526X")</f>
        <v>http://dx.doi.org/10.1017/S000632319800526X</v>
      </c>
      <c r="BG850" t="s">
        <v>74</v>
      </c>
      <c r="BH850" t="s">
        <v>74</v>
      </c>
      <c r="BI850">
        <v>34</v>
      </c>
      <c r="BJ850" t="s">
        <v>3521</v>
      </c>
      <c r="BK850" t="s">
        <v>96</v>
      </c>
      <c r="BL850" t="s">
        <v>3522</v>
      </c>
      <c r="BM850" t="s">
        <v>10930</v>
      </c>
      <c r="BN850" t="s">
        <v>74</v>
      </c>
      <c r="BO850" t="s">
        <v>74</v>
      </c>
      <c r="BP850" t="s">
        <v>74</v>
      </c>
      <c r="BQ850" t="s">
        <v>74</v>
      </c>
      <c r="BR850" t="s">
        <v>99</v>
      </c>
      <c r="BS850" t="s">
        <v>10931</v>
      </c>
      <c r="BT850" t="str">
        <f>HYPERLINK("https%3A%2F%2Fwww.webofscience.com%2Fwos%2Fwoscc%2Ffull-record%2FWOS:000080555700003","View Full Record in Web of Science")</f>
        <v>View Full Record in Web of Science</v>
      </c>
    </row>
    <row r="851" spans="1:72" x14ac:dyDescent="0.15">
      <c r="A851" t="s">
        <v>72</v>
      </c>
      <c r="B851" t="s">
        <v>10932</v>
      </c>
      <c r="C851" t="s">
        <v>74</v>
      </c>
      <c r="D851" t="s">
        <v>74</v>
      </c>
      <c r="E851" t="s">
        <v>74</v>
      </c>
      <c r="F851" t="s">
        <v>10932</v>
      </c>
      <c r="G851" t="s">
        <v>74</v>
      </c>
      <c r="H851" t="s">
        <v>74</v>
      </c>
      <c r="I851" t="s">
        <v>10933</v>
      </c>
      <c r="J851" t="s">
        <v>10934</v>
      </c>
      <c r="K851" t="s">
        <v>74</v>
      </c>
      <c r="L851" t="s">
        <v>74</v>
      </c>
      <c r="M851" t="s">
        <v>77</v>
      </c>
      <c r="N851" t="s">
        <v>78</v>
      </c>
      <c r="O851" t="s">
        <v>74</v>
      </c>
      <c r="P851" t="s">
        <v>74</v>
      </c>
      <c r="Q851" t="s">
        <v>74</v>
      </c>
      <c r="R851" t="s">
        <v>74</v>
      </c>
      <c r="S851" t="s">
        <v>74</v>
      </c>
      <c r="T851" t="s">
        <v>10935</v>
      </c>
      <c r="U851" t="s">
        <v>10936</v>
      </c>
      <c r="V851" t="s">
        <v>10937</v>
      </c>
      <c r="W851" t="s">
        <v>10938</v>
      </c>
      <c r="X851" t="s">
        <v>10939</v>
      </c>
      <c r="Y851" t="s">
        <v>10940</v>
      </c>
      <c r="Z851" t="s">
        <v>74</v>
      </c>
      <c r="AA851" t="s">
        <v>74</v>
      </c>
      <c r="AB851" t="s">
        <v>74</v>
      </c>
      <c r="AC851" t="s">
        <v>74</v>
      </c>
      <c r="AD851" t="s">
        <v>74</v>
      </c>
      <c r="AE851" t="s">
        <v>74</v>
      </c>
      <c r="AF851" t="s">
        <v>74</v>
      </c>
      <c r="AG851">
        <v>22</v>
      </c>
      <c r="AH851">
        <v>20</v>
      </c>
      <c r="AI851">
        <v>20</v>
      </c>
      <c r="AJ851">
        <v>0</v>
      </c>
      <c r="AK851">
        <v>0</v>
      </c>
      <c r="AL851" t="s">
        <v>1978</v>
      </c>
      <c r="AM851" t="s">
        <v>554</v>
      </c>
      <c r="AN851" t="s">
        <v>8316</v>
      </c>
      <c r="AO851" t="s">
        <v>10941</v>
      </c>
      <c r="AP851" t="s">
        <v>74</v>
      </c>
      <c r="AQ851" t="s">
        <v>74</v>
      </c>
      <c r="AR851" t="s">
        <v>10934</v>
      </c>
      <c r="AS851" t="s">
        <v>10942</v>
      </c>
      <c r="AT851" t="s">
        <v>10744</v>
      </c>
      <c r="AU851">
        <v>1999</v>
      </c>
      <c r="AV851">
        <v>24</v>
      </c>
      <c r="AW851">
        <v>2</v>
      </c>
      <c r="AX851" t="s">
        <v>74</v>
      </c>
      <c r="AY851" t="s">
        <v>74</v>
      </c>
      <c r="AZ851" t="s">
        <v>74</v>
      </c>
      <c r="BA851" t="s">
        <v>74</v>
      </c>
      <c r="BB851">
        <v>145</v>
      </c>
      <c r="BC851">
        <v>150</v>
      </c>
      <c r="BD851" t="s">
        <v>74</v>
      </c>
      <c r="BE851" t="s">
        <v>10943</v>
      </c>
      <c r="BF851" t="str">
        <f>HYPERLINK("http://dx.doi.org/10.1016/S8756-3282(98)00162-8","http://dx.doi.org/10.1016/S8756-3282(98)00162-8")</f>
        <v>http://dx.doi.org/10.1016/S8756-3282(98)00162-8</v>
      </c>
      <c r="BG851" t="s">
        <v>74</v>
      </c>
      <c r="BH851" t="s">
        <v>74</v>
      </c>
      <c r="BI851">
        <v>6</v>
      </c>
      <c r="BJ851" t="s">
        <v>10944</v>
      </c>
      <c r="BK851" t="s">
        <v>96</v>
      </c>
      <c r="BL851" t="s">
        <v>10944</v>
      </c>
      <c r="BM851" t="s">
        <v>10945</v>
      </c>
      <c r="BN851">
        <v>9951785</v>
      </c>
      <c r="BO851" t="s">
        <v>74</v>
      </c>
      <c r="BP851" t="s">
        <v>74</v>
      </c>
      <c r="BQ851" t="s">
        <v>74</v>
      </c>
      <c r="BR851" t="s">
        <v>99</v>
      </c>
      <c r="BS851" t="s">
        <v>10946</v>
      </c>
      <c r="BT851" t="str">
        <f>HYPERLINK("https%3A%2F%2Fwww.webofscience.com%2Fwos%2Fwoscc%2Ffull-record%2FWOS:000078231800013","View Full Record in Web of Science")</f>
        <v>View Full Record in Web of Science</v>
      </c>
    </row>
    <row r="852" spans="1:72" x14ac:dyDescent="0.15">
      <c r="A852" t="s">
        <v>72</v>
      </c>
      <c r="B852" t="s">
        <v>10947</v>
      </c>
      <c r="C852" t="s">
        <v>74</v>
      </c>
      <c r="D852" t="s">
        <v>74</v>
      </c>
      <c r="E852" t="s">
        <v>74</v>
      </c>
      <c r="F852" t="s">
        <v>10947</v>
      </c>
      <c r="G852" t="s">
        <v>74</v>
      </c>
      <c r="H852" t="s">
        <v>74</v>
      </c>
      <c r="I852" t="s">
        <v>10948</v>
      </c>
      <c r="J852" t="s">
        <v>5289</v>
      </c>
      <c r="K852" t="s">
        <v>74</v>
      </c>
      <c r="L852" t="s">
        <v>74</v>
      </c>
      <c r="M852" t="s">
        <v>77</v>
      </c>
      <c r="N852" t="s">
        <v>78</v>
      </c>
      <c r="O852" t="s">
        <v>74</v>
      </c>
      <c r="P852" t="s">
        <v>74</v>
      </c>
      <c r="Q852" t="s">
        <v>74</v>
      </c>
      <c r="R852" t="s">
        <v>74</v>
      </c>
      <c r="S852" t="s">
        <v>74</v>
      </c>
      <c r="T852" t="s">
        <v>74</v>
      </c>
      <c r="U852" t="s">
        <v>10949</v>
      </c>
      <c r="V852" t="s">
        <v>10950</v>
      </c>
      <c r="W852" t="s">
        <v>10951</v>
      </c>
      <c r="X852" t="s">
        <v>10952</v>
      </c>
      <c r="Y852" t="s">
        <v>152</v>
      </c>
      <c r="Z852" t="s">
        <v>9967</v>
      </c>
      <c r="AA852" t="s">
        <v>74</v>
      </c>
      <c r="AB852" t="s">
        <v>10953</v>
      </c>
      <c r="AC852" t="s">
        <v>74</v>
      </c>
      <c r="AD852" t="s">
        <v>74</v>
      </c>
      <c r="AE852" t="s">
        <v>74</v>
      </c>
      <c r="AF852" t="s">
        <v>74</v>
      </c>
      <c r="AG852">
        <v>33</v>
      </c>
      <c r="AH852">
        <v>17</v>
      </c>
      <c r="AI852">
        <v>21</v>
      </c>
      <c r="AJ852">
        <v>0</v>
      </c>
      <c r="AK852">
        <v>14</v>
      </c>
      <c r="AL852" t="s">
        <v>10954</v>
      </c>
      <c r="AM852" t="s">
        <v>722</v>
      </c>
      <c r="AN852" t="s">
        <v>5296</v>
      </c>
      <c r="AO852" t="s">
        <v>741</v>
      </c>
      <c r="AP852" t="s">
        <v>5297</v>
      </c>
      <c r="AQ852" t="s">
        <v>74</v>
      </c>
      <c r="AR852" t="s">
        <v>742</v>
      </c>
      <c r="AS852" t="s">
        <v>5298</v>
      </c>
      <c r="AT852" t="s">
        <v>10744</v>
      </c>
      <c r="AU852">
        <v>1999</v>
      </c>
      <c r="AV852">
        <v>77</v>
      </c>
      <c r="AW852">
        <v>2</v>
      </c>
      <c r="AX852" t="s">
        <v>74</v>
      </c>
      <c r="AY852" t="s">
        <v>74</v>
      </c>
      <c r="AZ852" t="s">
        <v>74</v>
      </c>
      <c r="BA852" t="s">
        <v>74</v>
      </c>
      <c r="BB852">
        <v>211</v>
      </c>
      <c r="BC852">
        <v>221</v>
      </c>
      <c r="BD852" t="s">
        <v>74</v>
      </c>
      <c r="BE852" t="s">
        <v>10955</v>
      </c>
      <c r="BF852" t="str">
        <f>HYPERLINK("http://dx.doi.org/10.1139/cjz-77-2-211","http://dx.doi.org/10.1139/cjz-77-2-211")</f>
        <v>http://dx.doi.org/10.1139/cjz-77-2-211</v>
      </c>
      <c r="BG852" t="s">
        <v>74</v>
      </c>
      <c r="BH852" t="s">
        <v>74</v>
      </c>
      <c r="BI852">
        <v>11</v>
      </c>
      <c r="BJ852" t="s">
        <v>142</v>
      </c>
      <c r="BK852" t="s">
        <v>96</v>
      </c>
      <c r="BL852" t="s">
        <v>142</v>
      </c>
      <c r="BM852" t="s">
        <v>10956</v>
      </c>
      <c r="BN852" t="s">
        <v>74</v>
      </c>
      <c r="BO852" t="s">
        <v>74</v>
      </c>
      <c r="BP852" t="s">
        <v>74</v>
      </c>
      <c r="BQ852" t="s">
        <v>74</v>
      </c>
      <c r="BR852" t="s">
        <v>99</v>
      </c>
      <c r="BS852" t="s">
        <v>10957</v>
      </c>
      <c r="BT852" t="str">
        <f>HYPERLINK("https%3A%2F%2Fwww.webofscience.com%2Fwos%2Fwoscc%2Ffull-record%2FWOS:000082269700004","View Full Record in Web of Science")</f>
        <v>View Full Record in Web of Science</v>
      </c>
    </row>
    <row r="853" spans="1:72" x14ac:dyDescent="0.15">
      <c r="A853" t="s">
        <v>72</v>
      </c>
      <c r="B853" t="s">
        <v>10958</v>
      </c>
      <c r="C853" t="s">
        <v>74</v>
      </c>
      <c r="D853" t="s">
        <v>74</v>
      </c>
      <c r="E853" t="s">
        <v>74</v>
      </c>
      <c r="F853" t="s">
        <v>10958</v>
      </c>
      <c r="G853" t="s">
        <v>74</v>
      </c>
      <c r="H853" t="s">
        <v>74</v>
      </c>
      <c r="I853" t="s">
        <v>10959</v>
      </c>
      <c r="J853" t="s">
        <v>749</v>
      </c>
      <c r="K853" t="s">
        <v>74</v>
      </c>
      <c r="L853" t="s">
        <v>74</v>
      </c>
      <c r="M853" t="s">
        <v>77</v>
      </c>
      <c r="N853" t="s">
        <v>78</v>
      </c>
      <c r="O853" t="s">
        <v>74</v>
      </c>
      <c r="P853" t="s">
        <v>74</v>
      </c>
      <c r="Q853" t="s">
        <v>74</v>
      </c>
      <c r="R853" t="s">
        <v>74</v>
      </c>
      <c r="S853" t="s">
        <v>74</v>
      </c>
      <c r="T853" t="s">
        <v>74</v>
      </c>
      <c r="U853" t="s">
        <v>10960</v>
      </c>
      <c r="V853" t="s">
        <v>10961</v>
      </c>
      <c r="W853" t="s">
        <v>10962</v>
      </c>
      <c r="X853" t="s">
        <v>6515</v>
      </c>
      <c r="Y853" t="s">
        <v>10963</v>
      </c>
      <c r="Z853" t="s">
        <v>74</v>
      </c>
      <c r="AA853" t="s">
        <v>9764</v>
      </c>
      <c r="AB853" t="s">
        <v>9765</v>
      </c>
      <c r="AC853" t="s">
        <v>74</v>
      </c>
      <c r="AD853" t="s">
        <v>74</v>
      </c>
      <c r="AE853" t="s">
        <v>74</v>
      </c>
      <c r="AF853" t="s">
        <v>74</v>
      </c>
      <c r="AG853">
        <v>48</v>
      </c>
      <c r="AH853">
        <v>38</v>
      </c>
      <c r="AI853">
        <v>40</v>
      </c>
      <c r="AJ853">
        <v>0</v>
      </c>
      <c r="AK853">
        <v>22</v>
      </c>
      <c r="AL853" t="s">
        <v>275</v>
      </c>
      <c r="AM853" t="s">
        <v>276</v>
      </c>
      <c r="AN853" t="s">
        <v>277</v>
      </c>
      <c r="AO853" t="s">
        <v>757</v>
      </c>
      <c r="AP853" t="s">
        <v>5309</v>
      </c>
      <c r="AQ853" t="s">
        <v>74</v>
      </c>
      <c r="AR853" t="s">
        <v>749</v>
      </c>
      <c r="AS853" t="s">
        <v>758</v>
      </c>
      <c r="AT853" t="s">
        <v>10744</v>
      </c>
      <c r="AU853">
        <v>1999</v>
      </c>
      <c r="AV853">
        <v>38</v>
      </c>
      <c r="AW853">
        <v>3</v>
      </c>
      <c r="AX853" t="s">
        <v>74</v>
      </c>
      <c r="AY853" t="s">
        <v>74</v>
      </c>
      <c r="AZ853" t="s">
        <v>74</v>
      </c>
      <c r="BA853" t="s">
        <v>74</v>
      </c>
      <c r="BB853">
        <v>475</v>
      </c>
      <c r="BC853">
        <v>487</v>
      </c>
      <c r="BD853" t="s">
        <v>74</v>
      </c>
      <c r="BE853" t="s">
        <v>10964</v>
      </c>
      <c r="BF853" t="str">
        <f>HYPERLINK("http://dx.doi.org/10.1016/S0045-6535(98)00211-2","http://dx.doi.org/10.1016/S0045-6535(98)00211-2")</f>
        <v>http://dx.doi.org/10.1016/S0045-6535(98)00211-2</v>
      </c>
      <c r="BG853" t="s">
        <v>74</v>
      </c>
      <c r="BH853" t="s">
        <v>74</v>
      </c>
      <c r="BI853">
        <v>13</v>
      </c>
      <c r="BJ853" t="s">
        <v>760</v>
      </c>
      <c r="BK853" t="s">
        <v>96</v>
      </c>
      <c r="BL853" t="s">
        <v>761</v>
      </c>
      <c r="BM853" t="s">
        <v>10965</v>
      </c>
      <c r="BN853">
        <v>10901668</v>
      </c>
      <c r="BO853" t="s">
        <v>74</v>
      </c>
      <c r="BP853" t="s">
        <v>74</v>
      </c>
      <c r="BQ853" t="s">
        <v>74</v>
      </c>
      <c r="BR853" t="s">
        <v>99</v>
      </c>
      <c r="BS853" t="s">
        <v>10966</v>
      </c>
      <c r="BT853" t="str">
        <f>HYPERLINK("https%3A%2F%2Fwww.webofscience.com%2Fwos%2Fwoscc%2Ffull-record%2FWOS:000077550800001","View Full Record in Web of Science")</f>
        <v>View Full Record in Web of Science</v>
      </c>
    </row>
    <row r="854" spans="1:72" x14ac:dyDescent="0.15">
      <c r="A854" t="s">
        <v>72</v>
      </c>
      <c r="B854" t="s">
        <v>10967</v>
      </c>
      <c r="C854" t="s">
        <v>74</v>
      </c>
      <c r="D854" t="s">
        <v>74</v>
      </c>
      <c r="E854" t="s">
        <v>74</v>
      </c>
      <c r="F854" t="s">
        <v>10967</v>
      </c>
      <c r="G854" t="s">
        <v>74</v>
      </c>
      <c r="H854" t="s">
        <v>74</v>
      </c>
      <c r="I854" t="s">
        <v>10968</v>
      </c>
      <c r="J854" t="s">
        <v>3150</v>
      </c>
      <c r="K854" t="s">
        <v>74</v>
      </c>
      <c r="L854" t="s">
        <v>74</v>
      </c>
      <c r="M854" t="s">
        <v>77</v>
      </c>
      <c r="N854" t="s">
        <v>78</v>
      </c>
      <c r="O854" t="s">
        <v>74</v>
      </c>
      <c r="P854" t="s">
        <v>74</v>
      </c>
      <c r="Q854" t="s">
        <v>74</v>
      </c>
      <c r="R854" t="s">
        <v>74</v>
      </c>
      <c r="S854" t="s">
        <v>74</v>
      </c>
      <c r="T854" t="s">
        <v>74</v>
      </c>
      <c r="U854" t="s">
        <v>10969</v>
      </c>
      <c r="V854" t="s">
        <v>10970</v>
      </c>
      <c r="W854" t="s">
        <v>10971</v>
      </c>
      <c r="X854" t="s">
        <v>10972</v>
      </c>
      <c r="Y854" t="s">
        <v>10973</v>
      </c>
      <c r="Z854" t="s">
        <v>10974</v>
      </c>
      <c r="AA854" t="s">
        <v>10975</v>
      </c>
      <c r="AB854" t="s">
        <v>10976</v>
      </c>
      <c r="AC854" t="s">
        <v>74</v>
      </c>
      <c r="AD854" t="s">
        <v>74</v>
      </c>
      <c r="AE854" t="s">
        <v>74</v>
      </c>
      <c r="AF854" t="s">
        <v>74</v>
      </c>
      <c r="AG854">
        <v>35</v>
      </c>
      <c r="AH854">
        <v>73</v>
      </c>
      <c r="AI854">
        <v>81</v>
      </c>
      <c r="AJ854">
        <v>0</v>
      </c>
      <c r="AK854">
        <v>5</v>
      </c>
      <c r="AL854" t="s">
        <v>705</v>
      </c>
      <c r="AM854" t="s">
        <v>554</v>
      </c>
      <c r="AN854" t="s">
        <v>706</v>
      </c>
      <c r="AO854" t="s">
        <v>3155</v>
      </c>
      <c r="AP854" t="s">
        <v>8870</v>
      </c>
      <c r="AQ854" t="s">
        <v>74</v>
      </c>
      <c r="AR854" t="s">
        <v>3156</v>
      </c>
      <c r="AS854" t="s">
        <v>3157</v>
      </c>
      <c r="AT854" t="s">
        <v>10744</v>
      </c>
      <c r="AU854">
        <v>1999</v>
      </c>
      <c r="AV854">
        <v>15</v>
      </c>
      <c r="AW854">
        <v>2</v>
      </c>
      <c r="AX854" t="s">
        <v>74</v>
      </c>
      <c r="AY854" t="s">
        <v>74</v>
      </c>
      <c r="AZ854" t="s">
        <v>74</v>
      </c>
      <c r="BA854" t="s">
        <v>74</v>
      </c>
      <c r="BB854">
        <v>115</v>
      </c>
      <c r="BC854">
        <v>125</v>
      </c>
      <c r="BD854" t="s">
        <v>74</v>
      </c>
      <c r="BE854" t="s">
        <v>10977</v>
      </c>
      <c r="BF854" t="str">
        <f>HYPERLINK("http://dx.doi.org/10.1007/s003820050271","http://dx.doi.org/10.1007/s003820050271")</f>
        <v>http://dx.doi.org/10.1007/s003820050271</v>
      </c>
      <c r="BG854" t="s">
        <v>74</v>
      </c>
      <c r="BH854" t="s">
        <v>74</v>
      </c>
      <c r="BI854">
        <v>11</v>
      </c>
      <c r="BJ854" t="s">
        <v>95</v>
      </c>
      <c r="BK854" t="s">
        <v>96</v>
      </c>
      <c r="BL854" t="s">
        <v>95</v>
      </c>
      <c r="BM854" t="s">
        <v>10978</v>
      </c>
      <c r="BN854" t="s">
        <v>74</v>
      </c>
      <c r="BO854" t="s">
        <v>74</v>
      </c>
      <c r="BP854" t="s">
        <v>74</v>
      </c>
      <c r="BQ854" t="s">
        <v>74</v>
      </c>
      <c r="BR854" t="s">
        <v>99</v>
      </c>
      <c r="BS854" t="s">
        <v>10979</v>
      </c>
      <c r="BT854" t="str">
        <f>HYPERLINK("https%3A%2F%2Fwww.webofscience.com%2Fwos%2Fwoscc%2Ffull-record%2FWOS:000078471500003","View Full Record in Web of Science")</f>
        <v>View Full Record in Web of Science</v>
      </c>
    </row>
    <row r="855" spans="1:72" x14ac:dyDescent="0.15">
      <c r="A855" t="s">
        <v>72</v>
      </c>
      <c r="B855" t="s">
        <v>10980</v>
      </c>
      <c r="C855" t="s">
        <v>74</v>
      </c>
      <c r="D855" t="s">
        <v>74</v>
      </c>
      <c r="E855" t="s">
        <v>74</v>
      </c>
      <c r="F855" t="s">
        <v>10980</v>
      </c>
      <c r="G855" t="s">
        <v>74</v>
      </c>
      <c r="H855" t="s">
        <v>74</v>
      </c>
      <c r="I855" t="s">
        <v>10981</v>
      </c>
      <c r="J855" t="s">
        <v>3150</v>
      </c>
      <c r="K855" t="s">
        <v>74</v>
      </c>
      <c r="L855" t="s">
        <v>74</v>
      </c>
      <c r="M855" t="s">
        <v>77</v>
      </c>
      <c r="N855" t="s">
        <v>78</v>
      </c>
      <c r="O855" t="s">
        <v>74</v>
      </c>
      <c r="P855" t="s">
        <v>74</v>
      </c>
      <c r="Q855" t="s">
        <v>74</v>
      </c>
      <c r="R855" t="s">
        <v>74</v>
      </c>
      <c r="S855" t="s">
        <v>74</v>
      </c>
      <c r="T855" t="s">
        <v>74</v>
      </c>
      <c r="U855" t="s">
        <v>10982</v>
      </c>
      <c r="V855" t="s">
        <v>10983</v>
      </c>
      <c r="W855" t="s">
        <v>10984</v>
      </c>
      <c r="X855" t="s">
        <v>2279</v>
      </c>
      <c r="Y855" t="s">
        <v>10985</v>
      </c>
      <c r="Z855" t="s">
        <v>10986</v>
      </c>
      <c r="AA855" t="s">
        <v>74</v>
      </c>
      <c r="AB855" t="s">
        <v>8882</v>
      </c>
      <c r="AC855" t="s">
        <v>74</v>
      </c>
      <c r="AD855" t="s">
        <v>74</v>
      </c>
      <c r="AE855" t="s">
        <v>74</v>
      </c>
      <c r="AF855" t="s">
        <v>74</v>
      </c>
      <c r="AG855">
        <v>51</v>
      </c>
      <c r="AH855">
        <v>39</v>
      </c>
      <c r="AI855">
        <v>45</v>
      </c>
      <c r="AJ855">
        <v>0</v>
      </c>
      <c r="AK855">
        <v>5</v>
      </c>
      <c r="AL855" t="s">
        <v>705</v>
      </c>
      <c r="AM855" t="s">
        <v>554</v>
      </c>
      <c r="AN855" t="s">
        <v>706</v>
      </c>
      <c r="AO855" t="s">
        <v>3155</v>
      </c>
      <c r="AP855" t="s">
        <v>8870</v>
      </c>
      <c r="AQ855" t="s">
        <v>74</v>
      </c>
      <c r="AR855" t="s">
        <v>3156</v>
      </c>
      <c r="AS855" t="s">
        <v>3157</v>
      </c>
      <c r="AT855" t="s">
        <v>10744</v>
      </c>
      <c r="AU855">
        <v>1999</v>
      </c>
      <c r="AV855">
        <v>15</v>
      </c>
      <c r="AW855">
        <v>2</v>
      </c>
      <c r="AX855" t="s">
        <v>74</v>
      </c>
      <c r="AY855" t="s">
        <v>74</v>
      </c>
      <c r="AZ855" t="s">
        <v>74</v>
      </c>
      <c r="BA855" t="s">
        <v>74</v>
      </c>
      <c r="BB855">
        <v>127</v>
      </c>
      <c r="BC855">
        <v>143</v>
      </c>
      <c r="BD855" t="s">
        <v>74</v>
      </c>
      <c r="BE855" t="s">
        <v>10987</v>
      </c>
      <c r="BF855" t="str">
        <f>HYPERLINK("http://dx.doi.org/10.1007/s003820050272","http://dx.doi.org/10.1007/s003820050272")</f>
        <v>http://dx.doi.org/10.1007/s003820050272</v>
      </c>
      <c r="BG855" t="s">
        <v>74</v>
      </c>
      <c r="BH855" t="s">
        <v>74</v>
      </c>
      <c r="BI855">
        <v>17</v>
      </c>
      <c r="BJ855" t="s">
        <v>95</v>
      </c>
      <c r="BK855" t="s">
        <v>96</v>
      </c>
      <c r="BL855" t="s">
        <v>95</v>
      </c>
      <c r="BM855" t="s">
        <v>10978</v>
      </c>
      <c r="BN855" t="s">
        <v>74</v>
      </c>
      <c r="BO855" t="s">
        <v>74</v>
      </c>
      <c r="BP855" t="s">
        <v>74</v>
      </c>
      <c r="BQ855" t="s">
        <v>74</v>
      </c>
      <c r="BR855" t="s">
        <v>99</v>
      </c>
      <c r="BS855" t="s">
        <v>10988</v>
      </c>
      <c r="BT855" t="str">
        <f>HYPERLINK("https%3A%2F%2Fwww.webofscience.com%2Fwos%2Fwoscc%2Ffull-record%2FWOS:000078471500004","View Full Record in Web of Science")</f>
        <v>View Full Record in Web of Science</v>
      </c>
    </row>
    <row r="856" spans="1:72" x14ac:dyDescent="0.15">
      <c r="A856" t="s">
        <v>72</v>
      </c>
      <c r="B856" t="s">
        <v>10989</v>
      </c>
      <c r="C856" t="s">
        <v>74</v>
      </c>
      <c r="D856" t="s">
        <v>74</v>
      </c>
      <c r="E856" t="s">
        <v>74</v>
      </c>
      <c r="F856" t="s">
        <v>10989</v>
      </c>
      <c r="G856" t="s">
        <v>74</v>
      </c>
      <c r="H856" t="s">
        <v>74</v>
      </c>
      <c r="I856" t="s">
        <v>10990</v>
      </c>
      <c r="J856" t="s">
        <v>10991</v>
      </c>
      <c r="K856" t="s">
        <v>74</v>
      </c>
      <c r="L856" t="s">
        <v>74</v>
      </c>
      <c r="M856" t="s">
        <v>77</v>
      </c>
      <c r="N856" t="s">
        <v>78</v>
      </c>
      <c r="O856" t="s">
        <v>74</v>
      </c>
      <c r="P856" t="s">
        <v>74</v>
      </c>
      <c r="Q856" t="s">
        <v>74</v>
      </c>
      <c r="R856" t="s">
        <v>74</v>
      </c>
      <c r="S856" t="s">
        <v>74</v>
      </c>
      <c r="T856" t="s">
        <v>74</v>
      </c>
      <c r="U856" t="s">
        <v>10992</v>
      </c>
      <c r="V856" t="s">
        <v>10993</v>
      </c>
      <c r="W856" t="s">
        <v>10994</v>
      </c>
      <c r="X856" t="s">
        <v>10995</v>
      </c>
      <c r="Y856" t="s">
        <v>10996</v>
      </c>
      <c r="Z856" t="s">
        <v>10997</v>
      </c>
      <c r="AA856" t="s">
        <v>74</v>
      </c>
      <c r="AB856" t="s">
        <v>74</v>
      </c>
      <c r="AC856" t="s">
        <v>74</v>
      </c>
      <c r="AD856" t="s">
        <v>74</v>
      </c>
      <c r="AE856" t="s">
        <v>74</v>
      </c>
      <c r="AF856" t="s">
        <v>74</v>
      </c>
      <c r="AG856">
        <v>98</v>
      </c>
      <c r="AH856">
        <v>10</v>
      </c>
      <c r="AI856">
        <v>10</v>
      </c>
      <c r="AJ856">
        <v>0</v>
      </c>
      <c r="AK856">
        <v>9</v>
      </c>
      <c r="AL856" t="s">
        <v>5555</v>
      </c>
      <c r="AM856" t="s">
        <v>5269</v>
      </c>
      <c r="AN856" t="s">
        <v>5556</v>
      </c>
      <c r="AO856" t="s">
        <v>10998</v>
      </c>
      <c r="AP856" t="s">
        <v>74</v>
      </c>
      <c r="AQ856" t="s">
        <v>74</v>
      </c>
      <c r="AR856" t="s">
        <v>10991</v>
      </c>
      <c r="AS856" t="s">
        <v>10999</v>
      </c>
      <c r="AT856" t="s">
        <v>10744</v>
      </c>
      <c r="AU856">
        <v>1999</v>
      </c>
      <c r="AV856">
        <v>41</v>
      </c>
      <c r="AW856">
        <v>2</v>
      </c>
      <c r="AX856" t="s">
        <v>74</v>
      </c>
      <c r="AY856" t="s">
        <v>74</v>
      </c>
      <c r="AZ856" t="s">
        <v>74</v>
      </c>
      <c r="BA856" t="s">
        <v>74</v>
      </c>
      <c r="BB856">
        <v>151</v>
      </c>
      <c r="BC856">
        <v>173</v>
      </c>
      <c r="BD856" t="s">
        <v>74</v>
      </c>
      <c r="BE856" t="s">
        <v>11000</v>
      </c>
      <c r="BF856" t="str">
        <f>HYPERLINK("http://dx.doi.org/10.1023/A:1005465513592","http://dx.doi.org/10.1023/A:1005465513592")</f>
        <v>http://dx.doi.org/10.1023/A:1005465513592</v>
      </c>
      <c r="BG856" t="s">
        <v>74</v>
      </c>
      <c r="BH856" t="s">
        <v>74</v>
      </c>
      <c r="BI856">
        <v>23</v>
      </c>
      <c r="BJ856" t="s">
        <v>5561</v>
      </c>
      <c r="BK856" t="s">
        <v>96</v>
      </c>
      <c r="BL856" t="s">
        <v>5562</v>
      </c>
      <c r="BM856" t="s">
        <v>11001</v>
      </c>
      <c r="BN856" t="s">
        <v>74</v>
      </c>
      <c r="BO856" t="s">
        <v>74</v>
      </c>
      <c r="BP856" t="s">
        <v>74</v>
      </c>
      <c r="BQ856" t="s">
        <v>74</v>
      </c>
      <c r="BR856" t="s">
        <v>99</v>
      </c>
      <c r="BS856" t="s">
        <v>11002</v>
      </c>
      <c r="BT856" t="str">
        <f>HYPERLINK("https%3A%2F%2Fwww.webofscience.com%2Fwos%2Fwoscc%2Ffull-record%2FWOS:000078751700002","View Full Record in Web of Science")</f>
        <v>View Full Record in Web of Science</v>
      </c>
    </row>
    <row r="857" spans="1:72" x14ac:dyDescent="0.15">
      <c r="A857" t="s">
        <v>72</v>
      </c>
      <c r="B857" t="s">
        <v>11003</v>
      </c>
      <c r="C857" t="s">
        <v>74</v>
      </c>
      <c r="D857" t="s">
        <v>74</v>
      </c>
      <c r="E857" t="s">
        <v>74</v>
      </c>
      <c r="F857" t="s">
        <v>11003</v>
      </c>
      <c r="G857" t="s">
        <v>74</v>
      </c>
      <c r="H857" t="s">
        <v>74</v>
      </c>
      <c r="I857" t="s">
        <v>11004</v>
      </c>
      <c r="J857" t="s">
        <v>793</v>
      </c>
      <c r="K857" t="s">
        <v>74</v>
      </c>
      <c r="L857" t="s">
        <v>74</v>
      </c>
      <c r="M857" t="s">
        <v>77</v>
      </c>
      <c r="N857" t="s">
        <v>78</v>
      </c>
      <c r="O857" t="s">
        <v>74</v>
      </c>
      <c r="P857" t="s">
        <v>74</v>
      </c>
      <c r="Q857" t="s">
        <v>74</v>
      </c>
      <c r="R857" t="s">
        <v>74</v>
      </c>
      <c r="S857" t="s">
        <v>74</v>
      </c>
      <c r="T857" t="s">
        <v>11005</v>
      </c>
      <c r="U857" t="s">
        <v>11006</v>
      </c>
      <c r="V857" t="s">
        <v>11007</v>
      </c>
      <c r="W857" t="s">
        <v>11008</v>
      </c>
      <c r="X857" t="s">
        <v>11009</v>
      </c>
      <c r="Y857" t="s">
        <v>3654</v>
      </c>
      <c r="Z857" t="s">
        <v>74</v>
      </c>
      <c r="AA857" t="s">
        <v>74</v>
      </c>
      <c r="AB857" t="s">
        <v>11010</v>
      </c>
      <c r="AC857" t="s">
        <v>74</v>
      </c>
      <c r="AD857" t="s">
        <v>74</v>
      </c>
      <c r="AE857" t="s">
        <v>74</v>
      </c>
      <c r="AF857" t="s">
        <v>74</v>
      </c>
      <c r="AG857">
        <v>21</v>
      </c>
      <c r="AH857">
        <v>20</v>
      </c>
      <c r="AI857">
        <v>24</v>
      </c>
      <c r="AJ857">
        <v>0</v>
      </c>
      <c r="AK857">
        <v>49</v>
      </c>
      <c r="AL857" t="s">
        <v>275</v>
      </c>
      <c r="AM857" t="s">
        <v>276</v>
      </c>
      <c r="AN857" t="s">
        <v>277</v>
      </c>
      <c r="AO857" t="s">
        <v>802</v>
      </c>
      <c r="AP857" t="s">
        <v>74</v>
      </c>
      <c r="AQ857" t="s">
        <v>74</v>
      </c>
      <c r="AR857" t="s">
        <v>803</v>
      </c>
      <c r="AS857" t="s">
        <v>804</v>
      </c>
      <c r="AT857" t="s">
        <v>10744</v>
      </c>
      <c r="AU857">
        <v>1999</v>
      </c>
      <c r="AV857">
        <v>122</v>
      </c>
      <c r="AW857">
        <v>2</v>
      </c>
      <c r="AX857" t="s">
        <v>74</v>
      </c>
      <c r="AY857" t="s">
        <v>74</v>
      </c>
      <c r="AZ857" t="s">
        <v>74</v>
      </c>
      <c r="BA857" t="s">
        <v>74</v>
      </c>
      <c r="BB857">
        <v>235</v>
      </c>
      <c r="BC857">
        <v>240</v>
      </c>
      <c r="BD857" t="s">
        <v>74</v>
      </c>
      <c r="BE857" t="s">
        <v>11011</v>
      </c>
      <c r="BF857" t="str">
        <f>HYPERLINK("http://dx.doi.org/10.1016/S0305-0491(99)00004-8","http://dx.doi.org/10.1016/S0305-0491(99)00004-8")</f>
        <v>http://dx.doi.org/10.1016/S0305-0491(99)00004-8</v>
      </c>
      <c r="BG857" t="s">
        <v>74</v>
      </c>
      <c r="BH857" t="s">
        <v>74</v>
      </c>
      <c r="BI857">
        <v>6</v>
      </c>
      <c r="BJ857" t="s">
        <v>806</v>
      </c>
      <c r="BK857" t="s">
        <v>96</v>
      </c>
      <c r="BL857" t="s">
        <v>806</v>
      </c>
      <c r="BM857" t="s">
        <v>11012</v>
      </c>
      <c r="BN857">
        <v>10327612</v>
      </c>
      <c r="BO857" t="s">
        <v>74</v>
      </c>
      <c r="BP857" t="s">
        <v>74</v>
      </c>
      <c r="BQ857" t="s">
        <v>74</v>
      </c>
      <c r="BR857" t="s">
        <v>99</v>
      </c>
      <c r="BS857" t="s">
        <v>11013</v>
      </c>
      <c r="BT857" t="str">
        <f>HYPERLINK("https%3A%2F%2Fwww.webofscience.com%2Fwos%2Fwoscc%2Ffull-record%2FWOS:000079316800010","View Full Record in Web of Science")</f>
        <v>View Full Record in Web of Science</v>
      </c>
    </row>
    <row r="858" spans="1:72" x14ac:dyDescent="0.15">
      <c r="A858" t="s">
        <v>72</v>
      </c>
      <c r="B858" t="s">
        <v>11014</v>
      </c>
      <c r="C858" t="s">
        <v>74</v>
      </c>
      <c r="D858" t="s">
        <v>74</v>
      </c>
      <c r="E858" t="s">
        <v>74</v>
      </c>
      <c r="F858" t="s">
        <v>11014</v>
      </c>
      <c r="G858" t="s">
        <v>74</v>
      </c>
      <c r="H858" t="s">
        <v>74</v>
      </c>
      <c r="I858" t="s">
        <v>11015</v>
      </c>
      <c r="J858" t="s">
        <v>7859</v>
      </c>
      <c r="K858" t="s">
        <v>74</v>
      </c>
      <c r="L858" t="s">
        <v>74</v>
      </c>
      <c r="M858" t="s">
        <v>77</v>
      </c>
      <c r="N858" t="s">
        <v>78</v>
      </c>
      <c r="O858" t="s">
        <v>74</v>
      </c>
      <c r="P858" t="s">
        <v>74</v>
      </c>
      <c r="Q858" t="s">
        <v>74</v>
      </c>
      <c r="R858" t="s">
        <v>74</v>
      </c>
      <c r="S858" t="s">
        <v>74</v>
      </c>
      <c r="T858" t="s">
        <v>74</v>
      </c>
      <c r="U858" t="s">
        <v>74</v>
      </c>
      <c r="V858" t="s">
        <v>11016</v>
      </c>
      <c r="W858" t="s">
        <v>11017</v>
      </c>
      <c r="X858" t="s">
        <v>11018</v>
      </c>
      <c r="Y858" t="s">
        <v>11019</v>
      </c>
      <c r="Z858" t="s">
        <v>74</v>
      </c>
      <c r="AA858" t="s">
        <v>74</v>
      </c>
      <c r="AB858" t="s">
        <v>74</v>
      </c>
      <c r="AC858" t="s">
        <v>74</v>
      </c>
      <c r="AD858" t="s">
        <v>74</v>
      </c>
      <c r="AE858" t="s">
        <v>74</v>
      </c>
      <c r="AF858" t="s">
        <v>74</v>
      </c>
      <c r="AG858">
        <v>9</v>
      </c>
      <c r="AH858">
        <v>3</v>
      </c>
      <c r="AI858">
        <v>3</v>
      </c>
      <c r="AJ858">
        <v>0</v>
      </c>
      <c r="AK858">
        <v>0</v>
      </c>
      <c r="AL858" t="s">
        <v>275</v>
      </c>
      <c r="AM858" t="s">
        <v>276</v>
      </c>
      <c r="AN858" t="s">
        <v>277</v>
      </c>
      <c r="AO858" t="s">
        <v>7865</v>
      </c>
      <c r="AP858" t="s">
        <v>74</v>
      </c>
      <c r="AQ858" t="s">
        <v>74</v>
      </c>
      <c r="AR858" t="s">
        <v>7866</v>
      </c>
      <c r="AS858" t="s">
        <v>7867</v>
      </c>
      <c r="AT858" t="s">
        <v>10744</v>
      </c>
      <c r="AU858">
        <v>1999</v>
      </c>
      <c r="AV858">
        <v>19</v>
      </c>
      <c r="AW858">
        <v>2</v>
      </c>
      <c r="AX858" t="s">
        <v>74</v>
      </c>
      <c r="AY858" t="s">
        <v>74</v>
      </c>
      <c r="AZ858" t="s">
        <v>74</v>
      </c>
      <c r="BA858" t="s">
        <v>74</v>
      </c>
      <c r="BB858">
        <v>171</v>
      </c>
      <c r="BC858" t="s">
        <v>6418</v>
      </c>
      <c r="BD858" t="s">
        <v>74</v>
      </c>
      <c r="BE858" t="s">
        <v>74</v>
      </c>
      <c r="BF858" t="s">
        <v>74</v>
      </c>
      <c r="BG858" t="s">
        <v>74</v>
      </c>
      <c r="BH858" t="s">
        <v>74</v>
      </c>
      <c r="BI858">
        <v>10</v>
      </c>
      <c r="BJ858" t="s">
        <v>416</v>
      </c>
      <c r="BK858" t="s">
        <v>96</v>
      </c>
      <c r="BL858" t="s">
        <v>416</v>
      </c>
      <c r="BM858" t="s">
        <v>11020</v>
      </c>
      <c r="BN858" t="s">
        <v>74</v>
      </c>
      <c r="BO858" t="s">
        <v>74</v>
      </c>
      <c r="BP858" t="s">
        <v>74</v>
      </c>
      <c r="BQ858" t="s">
        <v>74</v>
      </c>
      <c r="BR858" t="s">
        <v>99</v>
      </c>
      <c r="BS858" t="s">
        <v>11021</v>
      </c>
      <c r="BT858" t="str">
        <f>HYPERLINK("https%3A%2F%2Fwww.webofscience.com%2Fwos%2Fwoscc%2Ffull-record%2FWOS:000078640000002","View Full Record in Web of Science")</f>
        <v>View Full Record in Web of Science</v>
      </c>
    </row>
    <row r="859" spans="1:72" x14ac:dyDescent="0.15">
      <c r="A859" t="s">
        <v>72</v>
      </c>
      <c r="B859" t="s">
        <v>11022</v>
      </c>
      <c r="C859" t="s">
        <v>74</v>
      </c>
      <c r="D859" t="s">
        <v>74</v>
      </c>
      <c r="E859" t="s">
        <v>74</v>
      </c>
      <c r="F859" t="s">
        <v>11022</v>
      </c>
      <c r="G859" t="s">
        <v>74</v>
      </c>
      <c r="H859" t="s">
        <v>74</v>
      </c>
      <c r="I859" t="s">
        <v>11023</v>
      </c>
      <c r="J859" t="s">
        <v>10040</v>
      </c>
      <c r="K859" t="s">
        <v>74</v>
      </c>
      <c r="L859" t="s">
        <v>74</v>
      </c>
      <c r="M859" t="s">
        <v>77</v>
      </c>
      <c r="N859" t="s">
        <v>78</v>
      </c>
      <c r="O859" t="s">
        <v>74</v>
      </c>
      <c r="P859" t="s">
        <v>74</v>
      </c>
      <c r="Q859" t="s">
        <v>74</v>
      </c>
      <c r="R859" t="s">
        <v>74</v>
      </c>
      <c r="S859" t="s">
        <v>74</v>
      </c>
      <c r="T859" t="s">
        <v>11024</v>
      </c>
      <c r="U859" t="s">
        <v>11025</v>
      </c>
      <c r="V859" t="s">
        <v>11026</v>
      </c>
      <c r="W859" t="s">
        <v>151</v>
      </c>
      <c r="X859" t="s">
        <v>131</v>
      </c>
      <c r="Y859" t="s">
        <v>11027</v>
      </c>
      <c r="Z859" t="s">
        <v>74</v>
      </c>
      <c r="AA859" t="s">
        <v>74</v>
      </c>
      <c r="AB859" t="s">
        <v>74</v>
      </c>
      <c r="AC859" t="s">
        <v>74</v>
      </c>
      <c r="AD859" t="s">
        <v>74</v>
      </c>
      <c r="AE859" t="s">
        <v>74</v>
      </c>
      <c r="AF859" t="s">
        <v>74</v>
      </c>
      <c r="AG859">
        <v>22</v>
      </c>
      <c r="AH859">
        <v>25</v>
      </c>
      <c r="AI859">
        <v>26</v>
      </c>
      <c r="AJ859">
        <v>0</v>
      </c>
      <c r="AK859">
        <v>9</v>
      </c>
      <c r="AL859" t="s">
        <v>11028</v>
      </c>
      <c r="AM859" t="s">
        <v>10049</v>
      </c>
      <c r="AN859" t="s">
        <v>10050</v>
      </c>
      <c r="AO859" t="s">
        <v>10051</v>
      </c>
      <c r="AP859" t="s">
        <v>11029</v>
      </c>
      <c r="AQ859" t="s">
        <v>74</v>
      </c>
      <c r="AR859" t="s">
        <v>10040</v>
      </c>
      <c r="AS859" t="s">
        <v>10052</v>
      </c>
      <c r="AT859" t="s">
        <v>10744</v>
      </c>
      <c r="AU859">
        <v>1999</v>
      </c>
      <c r="AV859">
        <v>38</v>
      </c>
      <c r="AW859">
        <v>1</v>
      </c>
      <c r="AX859" t="s">
        <v>74</v>
      </c>
      <c r="AY859" t="s">
        <v>74</v>
      </c>
      <c r="AZ859" t="s">
        <v>74</v>
      </c>
      <c r="BA859" t="s">
        <v>74</v>
      </c>
      <c r="BB859">
        <v>60</v>
      </c>
      <c r="BC859">
        <v>67</v>
      </c>
      <c r="BD859" t="s">
        <v>74</v>
      </c>
      <c r="BE859" t="s">
        <v>11030</v>
      </c>
      <c r="BF859" t="str">
        <f>HYPERLINK("http://dx.doi.org/10.1006/cryo.1998.2147","http://dx.doi.org/10.1006/cryo.1998.2147")</f>
        <v>http://dx.doi.org/10.1006/cryo.1998.2147</v>
      </c>
      <c r="BG859" t="s">
        <v>74</v>
      </c>
      <c r="BH859" t="s">
        <v>74</v>
      </c>
      <c r="BI859">
        <v>8</v>
      </c>
      <c r="BJ859" t="s">
        <v>10034</v>
      </c>
      <c r="BK859" t="s">
        <v>96</v>
      </c>
      <c r="BL859" t="s">
        <v>10035</v>
      </c>
      <c r="BM859" t="s">
        <v>11031</v>
      </c>
      <c r="BN859">
        <v>10079130</v>
      </c>
      <c r="BO859" t="s">
        <v>74</v>
      </c>
      <c r="BP859" t="s">
        <v>74</v>
      </c>
      <c r="BQ859" t="s">
        <v>74</v>
      </c>
      <c r="BR859" t="s">
        <v>99</v>
      </c>
      <c r="BS859" t="s">
        <v>11032</v>
      </c>
      <c r="BT859" t="str">
        <f>HYPERLINK("https%3A%2F%2Fwww.webofscience.com%2Fwos%2Fwoscc%2Ffull-record%2FWOS:000079514200007","View Full Record in Web of Science")</f>
        <v>View Full Record in Web of Science</v>
      </c>
    </row>
    <row r="860" spans="1:72" x14ac:dyDescent="0.15">
      <c r="A860" t="s">
        <v>72</v>
      </c>
      <c r="B860" t="s">
        <v>11033</v>
      </c>
      <c r="C860" t="s">
        <v>74</v>
      </c>
      <c r="D860" t="s">
        <v>74</v>
      </c>
      <c r="E860" t="s">
        <v>74</v>
      </c>
      <c r="F860" t="s">
        <v>11033</v>
      </c>
      <c r="G860" t="s">
        <v>74</v>
      </c>
      <c r="H860" t="s">
        <v>74</v>
      </c>
      <c r="I860" t="s">
        <v>11034</v>
      </c>
      <c r="J860" t="s">
        <v>827</v>
      </c>
      <c r="K860" t="s">
        <v>74</v>
      </c>
      <c r="L860" t="s">
        <v>74</v>
      </c>
      <c r="M860" t="s">
        <v>77</v>
      </c>
      <c r="N860" t="s">
        <v>78</v>
      </c>
      <c r="O860" t="s">
        <v>74</v>
      </c>
      <c r="P860" t="s">
        <v>74</v>
      </c>
      <c r="Q860" t="s">
        <v>74</v>
      </c>
      <c r="R860" t="s">
        <v>74</v>
      </c>
      <c r="S860" t="s">
        <v>74</v>
      </c>
      <c r="T860" t="s">
        <v>74</v>
      </c>
      <c r="U860" t="s">
        <v>11035</v>
      </c>
      <c r="V860" t="s">
        <v>11036</v>
      </c>
      <c r="W860" t="s">
        <v>11037</v>
      </c>
      <c r="X860" t="s">
        <v>11038</v>
      </c>
      <c r="Y860" t="s">
        <v>11039</v>
      </c>
      <c r="Z860" t="s">
        <v>11040</v>
      </c>
      <c r="AA860" t="s">
        <v>74</v>
      </c>
      <c r="AB860" t="s">
        <v>74</v>
      </c>
      <c r="AC860" t="s">
        <v>74</v>
      </c>
      <c r="AD860" t="s">
        <v>74</v>
      </c>
      <c r="AE860" t="s">
        <v>74</v>
      </c>
      <c r="AF860" t="s">
        <v>74</v>
      </c>
      <c r="AG860">
        <v>40</v>
      </c>
      <c r="AH860">
        <v>11</v>
      </c>
      <c r="AI860">
        <v>11</v>
      </c>
      <c r="AJ860">
        <v>0</v>
      </c>
      <c r="AK860">
        <v>1</v>
      </c>
      <c r="AL860" t="s">
        <v>275</v>
      </c>
      <c r="AM860" t="s">
        <v>276</v>
      </c>
      <c r="AN860" t="s">
        <v>277</v>
      </c>
      <c r="AO860" t="s">
        <v>836</v>
      </c>
      <c r="AP860" t="s">
        <v>74</v>
      </c>
      <c r="AQ860" t="s">
        <v>74</v>
      </c>
      <c r="AR860" t="s">
        <v>837</v>
      </c>
      <c r="AS860" t="s">
        <v>838</v>
      </c>
      <c r="AT860" t="s">
        <v>10744</v>
      </c>
      <c r="AU860">
        <v>1999</v>
      </c>
      <c r="AV860">
        <v>46</v>
      </c>
      <c r="AW860">
        <v>2</v>
      </c>
      <c r="AX860" t="s">
        <v>74</v>
      </c>
      <c r="AY860" t="s">
        <v>74</v>
      </c>
      <c r="AZ860" t="s">
        <v>74</v>
      </c>
      <c r="BA860" t="s">
        <v>74</v>
      </c>
      <c r="BB860">
        <v>319</v>
      </c>
      <c r="BC860">
        <v>333</v>
      </c>
      <c r="BD860" t="s">
        <v>74</v>
      </c>
      <c r="BE860" t="s">
        <v>11041</v>
      </c>
      <c r="BF860" t="str">
        <f>HYPERLINK("http://dx.doi.org/10.1016/S0967-0637(98)00064-8","http://dx.doi.org/10.1016/S0967-0637(98)00064-8")</f>
        <v>http://dx.doi.org/10.1016/S0967-0637(98)00064-8</v>
      </c>
      <c r="BG860" t="s">
        <v>74</v>
      </c>
      <c r="BH860" t="s">
        <v>74</v>
      </c>
      <c r="BI860">
        <v>15</v>
      </c>
      <c r="BJ860" t="s">
        <v>416</v>
      </c>
      <c r="BK860" t="s">
        <v>96</v>
      </c>
      <c r="BL860" t="s">
        <v>416</v>
      </c>
      <c r="BM860" t="s">
        <v>11042</v>
      </c>
      <c r="BN860" t="s">
        <v>74</v>
      </c>
      <c r="BO860" t="s">
        <v>74</v>
      </c>
      <c r="BP860" t="s">
        <v>74</v>
      </c>
      <c r="BQ860" t="s">
        <v>74</v>
      </c>
      <c r="BR860" t="s">
        <v>99</v>
      </c>
      <c r="BS860" t="s">
        <v>11043</v>
      </c>
      <c r="BT860" t="str">
        <f>HYPERLINK("https%3A%2F%2Fwww.webofscience.com%2Fwos%2Fwoscc%2Ffull-record%2FWOS:000078729900004","View Full Record in Web of Science")</f>
        <v>View Full Record in Web of Science</v>
      </c>
    </row>
    <row r="861" spans="1:72" x14ac:dyDescent="0.15">
      <c r="A861" t="s">
        <v>72</v>
      </c>
      <c r="B861" t="s">
        <v>11044</v>
      </c>
      <c r="C861" t="s">
        <v>74</v>
      </c>
      <c r="D861" t="s">
        <v>74</v>
      </c>
      <c r="E861" t="s">
        <v>74</v>
      </c>
      <c r="F861" t="s">
        <v>11044</v>
      </c>
      <c r="G861" t="s">
        <v>74</v>
      </c>
      <c r="H861" t="s">
        <v>74</v>
      </c>
      <c r="I861" t="s">
        <v>11045</v>
      </c>
      <c r="J861" t="s">
        <v>11046</v>
      </c>
      <c r="K861" t="s">
        <v>74</v>
      </c>
      <c r="L861" t="s">
        <v>74</v>
      </c>
      <c r="M861" t="s">
        <v>77</v>
      </c>
      <c r="N861" t="s">
        <v>78</v>
      </c>
      <c r="O861" t="s">
        <v>74</v>
      </c>
      <c r="P861" t="s">
        <v>74</v>
      </c>
      <c r="Q861" t="s">
        <v>74</v>
      </c>
      <c r="R861" t="s">
        <v>74</v>
      </c>
      <c r="S861" t="s">
        <v>74</v>
      </c>
      <c r="T861" t="s">
        <v>11047</v>
      </c>
      <c r="U861" t="s">
        <v>11048</v>
      </c>
      <c r="V861" t="s">
        <v>11049</v>
      </c>
      <c r="W861" t="s">
        <v>11050</v>
      </c>
      <c r="X861" t="s">
        <v>11051</v>
      </c>
      <c r="Y861" t="s">
        <v>11052</v>
      </c>
      <c r="Z861" t="s">
        <v>74</v>
      </c>
      <c r="AA861" t="s">
        <v>11053</v>
      </c>
      <c r="AB861" t="s">
        <v>11054</v>
      </c>
      <c r="AC861" t="s">
        <v>74</v>
      </c>
      <c r="AD861" t="s">
        <v>74</v>
      </c>
      <c r="AE861" t="s">
        <v>74</v>
      </c>
      <c r="AF861" t="s">
        <v>74</v>
      </c>
      <c r="AG861">
        <v>79</v>
      </c>
      <c r="AH861">
        <v>226</v>
      </c>
      <c r="AI861">
        <v>246</v>
      </c>
      <c r="AJ861">
        <v>1</v>
      </c>
      <c r="AK861">
        <v>45</v>
      </c>
      <c r="AL861" t="s">
        <v>997</v>
      </c>
      <c r="AM861" t="s">
        <v>998</v>
      </c>
      <c r="AN861" t="s">
        <v>999</v>
      </c>
      <c r="AO861" t="s">
        <v>11055</v>
      </c>
      <c r="AP861" t="s">
        <v>11056</v>
      </c>
      <c r="AQ861" t="s">
        <v>74</v>
      </c>
      <c r="AR861" t="s">
        <v>11057</v>
      </c>
      <c r="AS861" t="s">
        <v>11058</v>
      </c>
      <c r="AT861" t="s">
        <v>10744</v>
      </c>
      <c r="AU861">
        <v>1999</v>
      </c>
      <c r="AV861">
        <v>69</v>
      </c>
      <c r="AW861">
        <v>1</v>
      </c>
      <c r="AX861" t="s">
        <v>74</v>
      </c>
      <c r="AY861" t="s">
        <v>74</v>
      </c>
      <c r="AZ861" t="s">
        <v>74</v>
      </c>
      <c r="BA861" t="s">
        <v>74</v>
      </c>
      <c r="BB861">
        <v>47</v>
      </c>
      <c r="BC861">
        <v>67</v>
      </c>
      <c r="BD861" t="s">
        <v>74</v>
      </c>
      <c r="BE861" t="s">
        <v>11059</v>
      </c>
      <c r="BF861" t="str">
        <f>HYPERLINK("http://dx.doi.org/10.1890/0012-9615(1999)069[0047:FHINPT]2.0.CO;2","http://dx.doi.org/10.1890/0012-9615(1999)069[0047:FHINPT]2.0.CO;2")</f>
        <v>http://dx.doi.org/10.1890/0012-9615(1999)069[0047:FHINPT]2.0.CO;2</v>
      </c>
      <c r="BG861" t="s">
        <v>74</v>
      </c>
      <c r="BH861" t="s">
        <v>74</v>
      </c>
      <c r="BI861">
        <v>21</v>
      </c>
      <c r="BJ861" t="s">
        <v>868</v>
      </c>
      <c r="BK861" t="s">
        <v>96</v>
      </c>
      <c r="BL861" t="s">
        <v>761</v>
      </c>
      <c r="BM861" t="s">
        <v>11060</v>
      </c>
      <c r="BN861" t="s">
        <v>74</v>
      </c>
      <c r="BO861" t="s">
        <v>74</v>
      </c>
      <c r="BP861" t="s">
        <v>74</v>
      </c>
      <c r="BQ861" t="s">
        <v>74</v>
      </c>
      <c r="BR861" t="s">
        <v>99</v>
      </c>
      <c r="BS861" t="s">
        <v>11061</v>
      </c>
      <c r="BT861" t="str">
        <f>HYPERLINK("https%3A%2F%2Fwww.webofscience.com%2Fwos%2Fwoscc%2Ffull-record%2FWOS:000078484900003","View Full Record in Web of Science")</f>
        <v>View Full Record in Web of Science</v>
      </c>
    </row>
    <row r="862" spans="1:72" x14ac:dyDescent="0.15">
      <c r="A862" t="s">
        <v>72</v>
      </c>
      <c r="B862" t="s">
        <v>11062</v>
      </c>
      <c r="C862" t="s">
        <v>74</v>
      </c>
      <c r="D862" t="s">
        <v>74</v>
      </c>
      <c r="E862" t="s">
        <v>74</v>
      </c>
      <c r="F862" t="s">
        <v>11062</v>
      </c>
      <c r="G862" t="s">
        <v>74</v>
      </c>
      <c r="H862" t="s">
        <v>74</v>
      </c>
      <c r="I862" t="s">
        <v>11063</v>
      </c>
      <c r="J862" t="s">
        <v>11064</v>
      </c>
      <c r="K862" t="s">
        <v>74</v>
      </c>
      <c r="L862" t="s">
        <v>74</v>
      </c>
      <c r="M862" t="s">
        <v>77</v>
      </c>
      <c r="N862" t="s">
        <v>78</v>
      </c>
      <c r="O862" t="s">
        <v>74</v>
      </c>
      <c r="P862" t="s">
        <v>74</v>
      </c>
      <c r="Q862" t="s">
        <v>74</v>
      </c>
      <c r="R862" t="s">
        <v>74</v>
      </c>
      <c r="S862" t="s">
        <v>74</v>
      </c>
      <c r="T862" t="s">
        <v>11065</v>
      </c>
      <c r="U862" t="s">
        <v>11066</v>
      </c>
      <c r="V862" t="s">
        <v>11067</v>
      </c>
      <c r="W862" t="s">
        <v>11068</v>
      </c>
      <c r="X862" t="s">
        <v>11069</v>
      </c>
      <c r="Y862" t="s">
        <v>11070</v>
      </c>
      <c r="Z862" t="s">
        <v>11071</v>
      </c>
      <c r="AA862" t="s">
        <v>11072</v>
      </c>
      <c r="AB862" t="s">
        <v>74</v>
      </c>
      <c r="AC862" t="s">
        <v>74</v>
      </c>
      <c r="AD862" t="s">
        <v>74</v>
      </c>
      <c r="AE862" t="s">
        <v>74</v>
      </c>
      <c r="AF862" t="s">
        <v>74</v>
      </c>
      <c r="AG862">
        <v>17</v>
      </c>
      <c r="AH862">
        <v>11</v>
      </c>
      <c r="AI862">
        <v>13</v>
      </c>
      <c r="AJ862">
        <v>0</v>
      </c>
      <c r="AK862">
        <v>2</v>
      </c>
      <c r="AL862" t="s">
        <v>7449</v>
      </c>
      <c r="AM862" t="s">
        <v>531</v>
      </c>
      <c r="AN862" t="s">
        <v>7450</v>
      </c>
      <c r="AO862" t="s">
        <v>11073</v>
      </c>
      <c r="AP862" t="s">
        <v>11074</v>
      </c>
      <c r="AQ862" t="s">
        <v>74</v>
      </c>
      <c r="AR862" t="s">
        <v>11075</v>
      </c>
      <c r="AS862" t="s">
        <v>11076</v>
      </c>
      <c r="AT862" t="s">
        <v>10744</v>
      </c>
      <c r="AU862">
        <v>1999</v>
      </c>
      <c r="AV862">
        <v>53</v>
      </c>
      <c r="AW862">
        <v>2</v>
      </c>
      <c r="AX862" t="s">
        <v>74</v>
      </c>
      <c r="AY862" t="s">
        <v>74</v>
      </c>
      <c r="AZ862" t="s">
        <v>74</v>
      </c>
      <c r="BA862" t="s">
        <v>74</v>
      </c>
      <c r="BB862">
        <v>88</v>
      </c>
      <c r="BC862">
        <v>91</v>
      </c>
      <c r="BD862" t="s">
        <v>74</v>
      </c>
      <c r="BE862" t="s">
        <v>11077</v>
      </c>
      <c r="BF862" t="str">
        <f>HYPERLINK("http://dx.doi.org/10.1038/sj.ejcn.1600681","http://dx.doi.org/10.1038/sj.ejcn.1600681")</f>
        <v>http://dx.doi.org/10.1038/sj.ejcn.1600681</v>
      </c>
      <c r="BG862" t="s">
        <v>74</v>
      </c>
      <c r="BH862" t="s">
        <v>74</v>
      </c>
      <c r="BI862">
        <v>4</v>
      </c>
      <c r="BJ862" t="s">
        <v>11078</v>
      </c>
      <c r="BK862" t="s">
        <v>96</v>
      </c>
      <c r="BL862" t="s">
        <v>11078</v>
      </c>
      <c r="BM862" t="s">
        <v>11079</v>
      </c>
      <c r="BN862">
        <v>10099939</v>
      </c>
      <c r="BO862" t="s">
        <v>74</v>
      </c>
      <c r="BP862" t="s">
        <v>74</v>
      </c>
      <c r="BQ862" t="s">
        <v>74</v>
      </c>
      <c r="BR862" t="s">
        <v>99</v>
      </c>
      <c r="BS862" t="s">
        <v>11080</v>
      </c>
      <c r="BT862" t="str">
        <f>HYPERLINK("https%3A%2F%2Fwww.webofscience.com%2Fwos%2Fwoscc%2Ffull-record%2FWOS:000078672200002","View Full Record in Web of Science")</f>
        <v>View Full Record in Web of Science</v>
      </c>
    </row>
    <row r="863" spans="1:72" x14ac:dyDescent="0.15">
      <c r="A863" t="s">
        <v>72</v>
      </c>
      <c r="B863" t="s">
        <v>11081</v>
      </c>
      <c r="C863" t="s">
        <v>74</v>
      </c>
      <c r="D863" t="s">
        <v>74</v>
      </c>
      <c r="E863" t="s">
        <v>74</v>
      </c>
      <c r="F863" t="s">
        <v>11081</v>
      </c>
      <c r="G863" t="s">
        <v>74</v>
      </c>
      <c r="H863" t="s">
        <v>74</v>
      </c>
      <c r="I863" t="s">
        <v>11082</v>
      </c>
      <c r="J863" t="s">
        <v>2080</v>
      </c>
      <c r="K863" t="s">
        <v>74</v>
      </c>
      <c r="L863" t="s">
        <v>74</v>
      </c>
      <c r="M863" t="s">
        <v>77</v>
      </c>
      <c r="N863" t="s">
        <v>78</v>
      </c>
      <c r="O863" t="s">
        <v>74</v>
      </c>
      <c r="P863" t="s">
        <v>74</v>
      </c>
      <c r="Q863" t="s">
        <v>74</v>
      </c>
      <c r="R863" t="s">
        <v>74</v>
      </c>
      <c r="S863" t="s">
        <v>74</v>
      </c>
      <c r="T863" t="s">
        <v>74</v>
      </c>
      <c r="U863" t="s">
        <v>11083</v>
      </c>
      <c r="V863" t="s">
        <v>11084</v>
      </c>
      <c r="W863" t="s">
        <v>11085</v>
      </c>
      <c r="X863" t="s">
        <v>7261</v>
      </c>
      <c r="Y863" t="s">
        <v>11086</v>
      </c>
      <c r="Z863" t="s">
        <v>11087</v>
      </c>
      <c r="AA863" t="s">
        <v>11088</v>
      </c>
      <c r="AB863" t="s">
        <v>11089</v>
      </c>
      <c r="AC863" t="s">
        <v>74</v>
      </c>
      <c r="AD863" t="s">
        <v>74</v>
      </c>
      <c r="AE863" t="s">
        <v>74</v>
      </c>
      <c r="AF863" t="s">
        <v>74</v>
      </c>
      <c r="AG863">
        <v>26</v>
      </c>
      <c r="AH863">
        <v>77</v>
      </c>
      <c r="AI863">
        <v>83</v>
      </c>
      <c r="AJ863">
        <v>1</v>
      </c>
      <c r="AK863">
        <v>11</v>
      </c>
      <c r="AL863" t="s">
        <v>922</v>
      </c>
      <c r="AM863" t="s">
        <v>589</v>
      </c>
      <c r="AN863" t="s">
        <v>897</v>
      </c>
      <c r="AO863" t="s">
        <v>2088</v>
      </c>
      <c r="AP863" t="s">
        <v>74</v>
      </c>
      <c r="AQ863" t="s">
        <v>74</v>
      </c>
      <c r="AR863" t="s">
        <v>2090</v>
      </c>
      <c r="AS863" t="s">
        <v>2091</v>
      </c>
      <c r="AT863" t="s">
        <v>10744</v>
      </c>
      <c r="AU863">
        <v>1999</v>
      </c>
      <c r="AV863">
        <v>111</v>
      </c>
      <c r="AW863">
        <v>2</v>
      </c>
      <c r="AX863" t="s">
        <v>74</v>
      </c>
      <c r="AY863" t="s">
        <v>74</v>
      </c>
      <c r="AZ863" t="s">
        <v>74</v>
      </c>
      <c r="BA863" t="s">
        <v>74</v>
      </c>
      <c r="BB863">
        <v>254</v>
      </c>
      <c r="BC863">
        <v>263</v>
      </c>
      <c r="BD863" t="s">
        <v>74</v>
      </c>
      <c r="BE863" t="s">
        <v>11090</v>
      </c>
      <c r="BF863" t="str">
        <f>HYPERLINK("http://dx.doi.org/10.1130/0016-7606(1999)111&lt;0254:TDATSO&gt;2.3.CO;2","http://dx.doi.org/10.1130/0016-7606(1999)111&lt;0254:TDATSO&gt;2.3.CO;2")</f>
        <v>http://dx.doi.org/10.1130/0016-7606(1999)111&lt;0254:TDATSO&gt;2.3.CO;2</v>
      </c>
      <c r="BG863" t="s">
        <v>74</v>
      </c>
      <c r="BH863" t="s">
        <v>74</v>
      </c>
      <c r="BI863">
        <v>10</v>
      </c>
      <c r="BJ863" t="s">
        <v>387</v>
      </c>
      <c r="BK863" t="s">
        <v>96</v>
      </c>
      <c r="BL863" t="s">
        <v>388</v>
      </c>
      <c r="BM863" t="s">
        <v>11091</v>
      </c>
      <c r="BN863" t="s">
        <v>74</v>
      </c>
      <c r="BO863" t="s">
        <v>74</v>
      </c>
      <c r="BP863" t="s">
        <v>74</v>
      </c>
      <c r="BQ863" t="s">
        <v>74</v>
      </c>
      <c r="BR863" t="s">
        <v>99</v>
      </c>
      <c r="BS863" t="s">
        <v>11092</v>
      </c>
      <c r="BT863" t="str">
        <f>HYPERLINK("https%3A%2F%2Fwww.webofscience.com%2Fwos%2Fwoscc%2Ffull-record%2FWOS:000078617600007","View Full Record in Web of Science")</f>
        <v>View Full Record in Web of Science</v>
      </c>
    </row>
    <row r="864" spans="1:72" x14ac:dyDescent="0.15">
      <c r="A864" t="s">
        <v>72</v>
      </c>
      <c r="B864" t="s">
        <v>11093</v>
      </c>
      <c r="C864" t="s">
        <v>74</v>
      </c>
      <c r="D864" t="s">
        <v>74</v>
      </c>
      <c r="E864" t="s">
        <v>74</v>
      </c>
      <c r="F864" t="s">
        <v>11093</v>
      </c>
      <c r="G864" t="s">
        <v>74</v>
      </c>
      <c r="H864" t="s">
        <v>74</v>
      </c>
      <c r="I864" t="s">
        <v>11094</v>
      </c>
      <c r="J864" t="s">
        <v>889</v>
      </c>
      <c r="K864" t="s">
        <v>74</v>
      </c>
      <c r="L864" t="s">
        <v>74</v>
      </c>
      <c r="M864" t="s">
        <v>77</v>
      </c>
      <c r="N864" t="s">
        <v>78</v>
      </c>
      <c r="O864" t="s">
        <v>74</v>
      </c>
      <c r="P864" t="s">
        <v>74</v>
      </c>
      <c r="Q864" t="s">
        <v>74</v>
      </c>
      <c r="R864" t="s">
        <v>74</v>
      </c>
      <c r="S864" t="s">
        <v>74</v>
      </c>
      <c r="T864" t="s">
        <v>74</v>
      </c>
      <c r="U864" t="s">
        <v>11095</v>
      </c>
      <c r="V864" t="s">
        <v>11096</v>
      </c>
      <c r="W864" t="s">
        <v>11097</v>
      </c>
      <c r="X864" t="s">
        <v>11098</v>
      </c>
      <c r="Y864" t="s">
        <v>11099</v>
      </c>
      <c r="Z864" t="s">
        <v>74</v>
      </c>
      <c r="AA864" t="s">
        <v>2087</v>
      </c>
      <c r="AB864" t="s">
        <v>74</v>
      </c>
      <c r="AC864" t="s">
        <v>74</v>
      </c>
      <c r="AD864" t="s">
        <v>74</v>
      </c>
      <c r="AE864" t="s">
        <v>74</v>
      </c>
      <c r="AF864" t="s">
        <v>74</v>
      </c>
      <c r="AG864">
        <v>32</v>
      </c>
      <c r="AH864">
        <v>48</v>
      </c>
      <c r="AI864">
        <v>57</v>
      </c>
      <c r="AJ864">
        <v>0</v>
      </c>
      <c r="AK864">
        <v>9</v>
      </c>
      <c r="AL864" t="s">
        <v>896</v>
      </c>
      <c r="AM864" t="s">
        <v>589</v>
      </c>
      <c r="AN864" t="s">
        <v>897</v>
      </c>
      <c r="AO864" t="s">
        <v>898</v>
      </c>
      <c r="AP864" t="s">
        <v>74</v>
      </c>
      <c r="AQ864" t="s">
        <v>74</v>
      </c>
      <c r="AR864" t="s">
        <v>889</v>
      </c>
      <c r="AS864" t="s">
        <v>388</v>
      </c>
      <c r="AT864" t="s">
        <v>10744</v>
      </c>
      <c r="AU864">
        <v>1999</v>
      </c>
      <c r="AV864">
        <v>27</v>
      </c>
      <c r="AW864">
        <v>2</v>
      </c>
      <c r="AX864" t="s">
        <v>74</v>
      </c>
      <c r="AY864" t="s">
        <v>74</v>
      </c>
      <c r="AZ864" t="s">
        <v>74</v>
      </c>
      <c r="BA864" t="s">
        <v>74</v>
      </c>
      <c r="BB864">
        <v>179</v>
      </c>
      <c r="BC864">
        <v>182</v>
      </c>
      <c r="BD864" t="s">
        <v>74</v>
      </c>
      <c r="BE864" t="s">
        <v>11100</v>
      </c>
      <c r="BF864" t="str">
        <f>HYPERLINK("http://dx.doi.org/10.1130/0091-7613(1999)027&lt;0179:RCOISA&gt;2.3.CO;2","http://dx.doi.org/10.1130/0091-7613(1999)027&lt;0179:RCOISA&gt;2.3.CO;2")</f>
        <v>http://dx.doi.org/10.1130/0091-7613(1999)027&lt;0179:RCOISA&gt;2.3.CO;2</v>
      </c>
      <c r="BG864" t="s">
        <v>74</v>
      </c>
      <c r="BH864" t="s">
        <v>74</v>
      </c>
      <c r="BI864">
        <v>4</v>
      </c>
      <c r="BJ864" t="s">
        <v>388</v>
      </c>
      <c r="BK864" t="s">
        <v>96</v>
      </c>
      <c r="BL864" t="s">
        <v>388</v>
      </c>
      <c r="BM864" t="s">
        <v>11101</v>
      </c>
      <c r="BN864" t="s">
        <v>74</v>
      </c>
      <c r="BO864" t="s">
        <v>74</v>
      </c>
      <c r="BP864" t="s">
        <v>74</v>
      </c>
      <c r="BQ864" t="s">
        <v>74</v>
      </c>
      <c r="BR864" t="s">
        <v>99</v>
      </c>
      <c r="BS864" t="s">
        <v>11102</v>
      </c>
      <c r="BT864" t="str">
        <f>HYPERLINK("https%3A%2F%2Fwww.webofscience.com%2Fwos%2Fwoscc%2Ffull-record%2FWOS:000078617800021","View Full Record in Web of Science")</f>
        <v>View Full Record in Web of Science</v>
      </c>
    </row>
    <row r="865" spans="1:72" x14ac:dyDescent="0.15">
      <c r="A865" t="s">
        <v>72</v>
      </c>
      <c r="B865" t="s">
        <v>11103</v>
      </c>
      <c r="C865" t="s">
        <v>74</v>
      </c>
      <c r="D865" t="s">
        <v>74</v>
      </c>
      <c r="E865" t="s">
        <v>74</v>
      </c>
      <c r="F865" t="s">
        <v>11103</v>
      </c>
      <c r="G865" t="s">
        <v>74</v>
      </c>
      <c r="H865" t="s">
        <v>74</v>
      </c>
      <c r="I865" t="s">
        <v>11104</v>
      </c>
      <c r="J865" t="s">
        <v>5416</v>
      </c>
      <c r="K865" t="s">
        <v>74</v>
      </c>
      <c r="L865" t="s">
        <v>74</v>
      </c>
      <c r="M865" t="s">
        <v>77</v>
      </c>
      <c r="N865" t="s">
        <v>123</v>
      </c>
      <c r="O865" t="s">
        <v>11105</v>
      </c>
      <c r="P865" t="s">
        <v>11106</v>
      </c>
      <c r="Q865" t="s">
        <v>11107</v>
      </c>
      <c r="R865" t="s">
        <v>74</v>
      </c>
      <c r="S865" t="s">
        <v>74</v>
      </c>
      <c r="T865" t="s">
        <v>11108</v>
      </c>
      <c r="U865" t="s">
        <v>11109</v>
      </c>
      <c r="V865" t="s">
        <v>11110</v>
      </c>
      <c r="W865" t="s">
        <v>11111</v>
      </c>
      <c r="X865" t="s">
        <v>11112</v>
      </c>
      <c r="Y865" t="s">
        <v>5422</v>
      </c>
      <c r="Z865" t="s">
        <v>11113</v>
      </c>
      <c r="AA865" t="s">
        <v>11114</v>
      </c>
      <c r="AB865" t="s">
        <v>11115</v>
      </c>
      <c r="AC865" t="s">
        <v>74</v>
      </c>
      <c r="AD865" t="s">
        <v>74</v>
      </c>
      <c r="AE865" t="s">
        <v>74</v>
      </c>
      <c r="AF865" t="s">
        <v>74</v>
      </c>
      <c r="AG865">
        <v>54</v>
      </c>
      <c r="AH865">
        <v>87</v>
      </c>
      <c r="AI865">
        <v>94</v>
      </c>
      <c r="AJ865">
        <v>0</v>
      </c>
      <c r="AK865">
        <v>15</v>
      </c>
      <c r="AL865" t="s">
        <v>1263</v>
      </c>
      <c r="AM865" t="s">
        <v>211</v>
      </c>
      <c r="AN865" t="s">
        <v>1264</v>
      </c>
      <c r="AO865" t="s">
        <v>5424</v>
      </c>
      <c r="AP865" t="s">
        <v>5425</v>
      </c>
      <c r="AQ865" t="s">
        <v>74</v>
      </c>
      <c r="AR865" t="s">
        <v>5416</v>
      </c>
      <c r="AS865" t="s">
        <v>5426</v>
      </c>
      <c r="AT865" t="s">
        <v>10744</v>
      </c>
      <c r="AU865">
        <v>1999</v>
      </c>
      <c r="AV865">
        <v>27</v>
      </c>
      <c r="AW865" t="s">
        <v>1614</v>
      </c>
      <c r="AX865" t="s">
        <v>74</v>
      </c>
      <c r="AY865" t="s">
        <v>74</v>
      </c>
      <c r="AZ865" t="s">
        <v>74</v>
      </c>
      <c r="BA865" t="s">
        <v>74</v>
      </c>
      <c r="BB865">
        <v>113</v>
      </c>
      <c r="BC865">
        <v>129</v>
      </c>
      <c r="BD865" t="s">
        <v>74</v>
      </c>
      <c r="BE865" t="s">
        <v>11116</v>
      </c>
      <c r="BF865" t="str">
        <f>HYPERLINK("http://dx.doi.org/10.1016/S0169-555X(98)00093-2","http://dx.doi.org/10.1016/S0169-555X(98)00093-2")</f>
        <v>http://dx.doi.org/10.1016/S0169-555X(98)00093-2</v>
      </c>
      <c r="BG865" t="s">
        <v>74</v>
      </c>
      <c r="BH865" t="s">
        <v>74</v>
      </c>
      <c r="BI865">
        <v>17</v>
      </c>
      <c r="BJ865" t="s">
        <v>2151</v>
      </c>
      <c r="BK865" t="s">
        <v>156</v>
      </c>
      <c r="BL865" t="s">
        <v>2152</v>
      </c>
      <c r="BM865" t="s">
        <v>11117</v>
      </c>
      <c r="BN865" t="s">
        <v>74</v>
      </c>
      <c r="BO865" t="s">
        <v>74</v>
      </c>
      <c r="BP865" t="s">
        <v>74</v>
      </c>
      <c r="BQ865" t="s">
        <v>74</v>
      </c>
      <c r="BR865" t="s">
        <v>99</v>
      </c>
      <c r="BS865" t="s">
        <v>11118</v>
      </c>
      <c r="BT865" t="str">
        <f>HYPERLINK("https%3A%2F%2Fwww.webofscience.com%2Fwos%2Fwoscc%2Ffull-record%2FWOS:000078769000009","View Full Record in Web of Science")</f>
        <v>View Full Record in Web of Science</v>
      </c>
    </row>
    <row r="866" spans="1:72" x14ac:dyDescent="0.15">
      <c r="A866" t="s">
        <v>72</v>
      </c>
      <c r="B866" t="s">
        <v>11119</v>
      </c>
      <c r="C866" t="s">
        <v>74</v>
      </c>
      <c r="D866" t="s">
        <v>74</v>
      </c>
      <c r="E866" t="s">
        <v>74</v>
      </c>
      <c r="F866" t="s">
        <v>11119</v>
      </c>
      <c r="G866" t="s">
        <v>74</v>
      </c>
      <c r="H866" t="s">
        <v>74</v>
      </c>
      <c r="I866" t="s">
        <v>11120</v>
      </c>
      <c r="J866" t="s">
        <v>378</v>
      </c>
      <c r="K866" t="s">
        <v>74</v>
      </c>
      <c r="L866" t="s">
        <v>74</v>
      </c>
      <c r="M866" t="s">
        <v>77</v>
      </c>
      <c r="N866" t="s">
        <v>78</v>
      </c>
      <c r="O866" t="s">
        <v>74</v>
      </c>
      <c r="P866" t="s">
        <v>74</v>
      </c>
      <c r="Q866" t="s">
        <v>74</v>
      </c>
      <c r="R866" t="s">
        <v>74</v>
      </c>
      <c r="S866" t="s">
        <v>74</v>
      </c>
      <c r="T866" t="s">
        <v>74</v>
      </c>
      <c r="U866" t="s">
        <v>11121</v>
      </c>
      <c r="V866" t="s">
        <v>11122</v>
      </c>
      <c r="W866" t="s">
        <v>11123</v>
      </c>
      <c r="X866" t="s">
        <v>11124</v>
      </c>
      <c r="Y866" t="s">
        <v>11125</v>
      </c>
      <c r="Z866" t="s">
        <v>74</v>
      </c>
      <c r="AA866" t="s">
        <v>74</v>
      </c>
      <c r="AB866" t="s">
        <v>74</v>
      </c>
      <c r="AC866" t="s">
        <v>74</v>
      </c>
      <c r="AD866" t="s">
        <v>74</v>
      </c>
      <c r="AE866" t="s">
        <v>74</v>
      </c>
      <c r="AF866" t="s">
        <v>74</v>
      </c>
      <c r="AG866">
        <v>24</v>
      </c>
      <c r="AH866">
        <v>6</v>
      </c>
      <c r="AI866">
        <v>6</v>
      </c>
      <c r="AJ866">
        <v>0</v>
      </c>
      <c r="AK866">
        <v>3</v>
      </c>
      <c r="AL866" t="s">
        <v>230</v>
      </c>
      <c r="AM866" t="s">
        <v>231</v>
      </c>
      <c r="AN866" t="s">
        <v>232</v>
      </c>
      <c r="AO866" t="s">
        <v>382</v>
      </c>
      <c r="AP866" t="s">
        <v>74</v>
      </c>
      <c r="AQ866" t="s">
        <v>74</v>
      </c>
      <c r="AR866" t="s">
        <v>383</v>
      </c>
      <c r="AS866" t="s">
        <v>384</v>
      </c>
      <c r="AT866" t="s">
        <v>11126</v>
      </c>
      <c r="AU866">
        <v>1999</v>
      </c>
      <c r="AV866">
        <v>26</v>
      </c>
      <c r="AW866">
        <v>3</v>
      </c>
      <c r="AX866" t="s">
        <v>74</v>
      </c>
      <c r="AY866" t="s">
        <v>74</v>
      </c>
      <c r="AZ866" t="s">
        <v>74</v>
      </c>
      <c r="BA866" t="s">
        <v>74</v>
      </c>
      <c r="BB866">
        <v>287</v>
      </c>
      <c r="BC866">
        <v>290</v>
      </c>
      <c r="BD866" t="s">
        <v>74</v>
      </c>
      <c r="BE866" t="s">
        <v>11127</v>
      </c>
      <c r="BF866" t="str">
        <f>HYPERLINK("http://dx.doi.org/10.1029/1998GL900324","http://dx.doi.org/10.1029/1998GL900324")</f>
        <v>http://dx.doi.org/10.1029/1998GL900324</v>
      </c>
      <c r="BG866" t="s">
        <v>74</v>
      </c>
      <c r="BH866" t="s">
        <v>74</v>
      </c>
      <c r="BI866">
        <v>4</v>
      </c>
      <c r="BJ866" t="s">
        <v>387</v>
      </c>
      <c r="BK866" t="s">
        <v>96</v>
      </c>
      <c r="BL866" t="s">
        <v>388</v>
      </c>
      <c r="BM866" t="s">
        <v>11128</v>
      </c>
      <c r="BN866" t="s">
        <v>74</v>
      </c>
      <c r="BO866" t="s">
        <v>250</v>
      </c>
      <c r="BP866" t="s">
        <v>74</v>
      </c>
      <c r="BQ866" t="s">
        <v>74</v>
      </c>
      <c r="BR866" t="s">
        <v>99</v>
      </c>
      <c r="BS866" t="s">
        <v>11129</v>
      </c>
      <c r="BT866" t="str">
        <f>HYPERLINK("https%3A%2F%2Fwww.webofscience.com%2Fwos%2Fwoscc%2Ffull-record%2FWOS:000078434300002","View Full Record in Web of Science")</f>
        <v>View Full Record in Web of Science</v>
      </c>
    </row>
    <row r="867" spans="1:72" x14ac:dyDescent="0.15">
      <c r="A867" t="s">
        <v>72</v>
      </c>
      <c r="B867" t="s">
        <v>11130</v>
      </c>
      <c r="C867" t="s">
        <v>74</v>
      </c>
      <c r="D867" t="s">
        <v>74</v>
      </c>
      <c r="E867" t="s">
        <v>74</v>
      </c>
      <c r="F867" t="s">
        <v>11130</v>
      </c>
      <c r="G867" t="s">
        <v>74</v>
      </c>
      <c r="H867" t="s">
        <v>74</v>
      </c>
      <c r="I867" t="s">
        <v>11131</v>
      </c>
      <c r="J867" t="s">
        <v>9003</v>
      </c>
      <c r="K867" t="s">
        <v>74</v>
      </c>
      <c r="L867" t="s">
        <v>74</v>
      </c>
      <c r="M867" t="s">
        <v>77</v>
      </c>
      <c r="N867" t="s">
        <v>78</v>
      </c>
      <c r="O867" t="s">
        <v>74</v>
      </c>
      <c r="P867" t="s">
        <v>74</v>
      </c>
      <c r="Q867" t="s">
        <v>74</v>
      </c>
      <c r="R867" t="s">
        <v>74</v>
      </c>
      <c r="S867" t="s">
        <v>74</v>
      </c>
      <c r="T867" t="s">
        <v>11132</v>
      </c>
      <c r="U867" t="s">
        <v>11133</v>
      </c>
      <c r="V867" t="s">
        <v>11134</v>
      </c>
      <c r="W867" t="s">
        <v>11135</v>
      </c>
      <c r="X867" t="s">
        <v>11136</v>
      </c>
      <c r="Y867" t="s">
        <v>11137</v>
      </c>
      <c r="Z867" t="s">
        <v>74</v>
      </c>
      <c r="AA867" t="s">
        <v>11138</v>
      </c>
      <c r="AB867" t="s">
        <v>11139</v>
      </c>
      <c r="AC867" t="s">
        <v>74</v>
      </c>
      <c r="AD867" t="s">
        <v>74</v>
      </c>
      <c r="AE867" t="s">
        <v>74</v>
      </c>
      <c r="AF867" t="s">
        <v>74</v>
      </c>
      <c r="AG867">
        <v>41</v>
      </c>
      <c r="AH867">
        <v>66</v>
      </c>
      <c r="AI867">
        <v>72</v>
      </c>
      <c r="AJ867">
        <v>2</v>
      </c>
      <c r="AK867">
        <v>11</v>
      </c>
      <c r="AL867" t="s">
        <v>863</v>
      </c>
      <c r="AM867" t="s">
        <v>276</v>
      </c>
      <c r="AN867" t="s">
        <v>864</v>
      </c>
      <c r="AO867" t="s">
        <v>9012</v>
      </c>
      <c r="AP867" t="s">
        <v>74</v>
      </c>
      <c r="AQ867" t="s">
        <v>74</v>
      </c>
      <c r="AR867" t="s">
        <v>10180</v>
      </c>
      <c r="AS867" t="s">
        <v>9015</v>
      </c>
      <c r="AT867" t="s">
        <v>10744</v>
      </c>
      <c r="AU867">
        <v>1999</v>
      </c>
      <c r="AV867">
        <v>5</v>
      </c>
      <c r="AW867">
        <v>2</v>
      </c>
      <c r="AX867" t="s">
        <v>74</v>
      </c>
      <c r="AY867" t="s">
        <v>74</v>
      </c>
      <c r="AZ867" t="s">
        <v>74</v>
      </c>
      <c r="BA867" t="s">
        <v>74</v>
      </c>
      <c r="BB867">
        <v>225</v>
      </c>
      <c r="BC867">
        <v>234</v>
      </c>
      <c r="BD867" t="s">
        <v>74</v>
      </c>
      <c r="BE867" t="s">
        <v>11140</v>
      </c>
      <c r="BF867" t="str">
        <f>HYPERLINK("http://dx.doi.org/10.1046/j.1365-2486.1999.00223.x","http://dx.doi.org/10.1046/j.1365-2486.1999.00223.x")</f>
        <v>http://dx.doi.org/10.1046/j.1365-2486.1999.00223.x</v>
      </c>
      <c r="BG867" t="s">
        <v>74</v>
      </c>
      <c r="BH867" t="s">
        <v>74</v>
      </c>
      <c r="BI867">
        <v>10</v>
      </c>
      <c r="BJ867" t="s">
        <v>9017</v>
      </c>
      <c r="BK867" t="s">
        <v>96</v>
      </c>
      <c r="BL867" t="s">
        <v>1384</v>
      </c>
      <c r="BM867" t="s">
        <v>11141</v>
      </c>
      <c r="BN867" t="s">
        <v>74</v>
      </c>
      <c r="BO867" t="s">
        <v>74</v>
      </c>
      <c r="BP867" t="s">
        <v>74</v>
      </c>
      <c r="BQ867" t="s">
        <v>74</v>
      </c>
      <c r="BR867" t="s">
        <v>99</v>
      </c>
      <c r="BS867" t="s">
        <v>11142</v>
      </c>
      <c r="BT867" t="str">
        <f>HYPERLINK("https%3A%2F%2Fwww.webofscience.com%2Fwos%2Fwoscc%2Ffull-record%2FWOS:000078792600009","View Full Record in Web of Science")</f>
        <v>View Full Record in Web of Science</v>
      </c>
    </row>
    <row r="868" spans="1:72" x14ac:dyDescent="0.15">
      <c r="A868" t="s">
        <v>72</v>
      </c>
      <c r="B868" t="s">
        <v>11143</v>
      </c>
      <c r="C868" t="s">
        <v>74</v>
      </c>
      <c r="D868" t="s">
        <v>74</v>
      </c>
      <c r="E868" t="s">
        <v>74</v>
      </c>
      <c r="F868" t="s">
        <v>11143</v>
      </c>
      <c r="G868" t="s">
        <v>74</v>
      </c>
      <c r="H868" t="s">
        <v>74</v>
      </c>
      <c r="I868" t="s">
        <v>11144</v>
      </c>
      <c r="J868" t="s">
        <v>11145</v>
      </c>
      <c r="K868" t="s">
        <v>74</v>
      </c>
      <c r="L868" t="s">
        <v>74</v>
      </c>
      <c r="M868" t="s">
        <v>77</v>
      </c>
      <c r="N868" t="s">
        <v>78</v>
      </c>
      <c r="O868" t="s">
        <v>74</v>
      </c>
      <c r="P868" t="s">
        <v>74</v>
      </c>
      <c r="Q868" t="s">
        <v>74</v>
      </c>
      <c r="R868" t="s">
        <v>74</v>
      </c>
      <c r="S868" t="s">
        <v>74</v>
      </c>
      <c r="T868" t="s">
        <v>74</v>
      </c>
      <c r="U868" t="s">
        <v>11146</v>
      </c>
      <c r="V868" t="s">
        <v>11147</v>
      </c>
      <c r="W868" t="s">
        <v>11148</v>
      </c>
      <c r="X868" t="s">
        <v>11149</v>
      </c>
      <c r="Y868" t="s">
        <v>11150</v>
      </c>
      <c r="Z868" t="s">
        <v>74</v>
      </c>
      <c r="AA868" t="s">
        <v>74</v>
      </c>
      <c r="AB868" t="s">
        <v>74</v>
      </c>
      <c r="AC868" t="s">
        <v>74</v>
      </c>
      <c r="AD868" t="s">
        <v>74</v>
      </c>
      <c r="AE868" t="s">
        <v>74</v>
      </c>
      <c r="AF868" t="s">
        <v>74</v>
      </c>
      <c r="AG868">
        <v>45</v>
      </c>
      <c r="AH868">
        <v>42</v>
      </c>
      <c r="AI868">
        <v>48</v>
      </c>
      <c r="AJ868">
        <v>1</v>
      </c>
      <c r="AK868">
        <v>38</v>
      </c>
      <c r="AL868" t="s">
        <v>10048</v>
      </c>
      <c r="AM868" t="s">
        <v>10049</v>
      </c>
      <c r="AN868" t="s">
        <v>10050</v>
      </c>
      <c r="AO868" t="s">
        <v>11151</v>
      </c>
      <c r="AP868" t="s">
        <v>74</v>
      </c>
      <c r="AQ868" t="s">
        <v>74</v>
      </c>
      <c r="AR868" t="s">
        <v>11152</v>
      </c>
      <c r="AS868" t="s">
        <v>11153</v>
      </c>
      <c r="AT868" t="s">
        <v>10744</v>
      </c>
      <c r="AU868">
        <v>1999</v>
      </c>
      <c r="AV868">
        <v>35</v>
      </c>
      <c r="AW868">
        <v>1</v>
      </c>
      <c r="AX868" t="s">
        <v>74</v>
      </c>
      <c r="AY868" t="s">
        <v>74</v>
      </c>
      <c r="AZ868" t="s">
        <v>74</v>
      </c>
      <c r="BA868" t="s">
        <v>74</v>
      </c>
      <c r="BB868">
        <v>9</v>
      </c>
      <c r="BC868">
        <v>17</v>
      </c>
      <c r="BD868" t="s">
        <v>74</v>
      </c>
      <c r="BE868" t="s">
        <v>11154</v>
      </c>
      <c r="BF868" t="str">
        <f>HYPERLINK("http://dx.doi.org/10.1006/hbeh.1998.1491","http://dx.doi.org/10.1006/hbeh.1998.1491")</f>
        <v>http://dx.doi.org/10.1006/hbeh.1998.1491</v>
      </c>
      <c r="BG868" t="s">
        <v>74</v>
      </c>
      <c r="BH868" t="s">
        <v>74</v>
      </c>
      <c r="BI868">
        <v>9</v>
      </c>
      <c r="BJ868" t="s">
        <v>11155</v>
      </c>
      <c r="BK868" t="s">
        <v>96</v>
      </c>
      <c r="BL868" t="s">
        <v>11155</v>
      </c>
      <c r="BM868" t="s">
        <v>11156</v>
      </c>
      <c r="BN868">
        <v>10049598</v>
      </c>
      <c r="BO868" t="s">
        <v>74</v>
      </c>
      <c r="BP868" t="s">
        <v>74</v>
      </c>
      <c r="BQ868" t="s">
        <v>74</v>
      </c>
      <c r="BR868" t="s">
        <v>99</v>
      </c>
      <c r="BS868" t="s">
        <v>11157</v>
      </c>
      <c r="BT868" t="str">
        <f>HYPERLINK("https%3A%2F%2Fwww.webofscience.com%2Fwos%2Fwoscc%2Ffull-record%2FWOS:000078851300002","View Full Record in Web of Science")</f>
        <v>View Full Record in Web of Science</v>
      </c>
    </row>
    <row r="869" spans="1:72" x14ac:dyDescent="0.15">
      <c r="A869" t="s">
        <v>72</v>
      </c>
      <c r="B869" t="s">
        <v>11158</v>
      </c>
      <c r="C869" t="s">
        <v>74</v>
      </c>
      <c r="D869" t="s">
        <v>74</v>
      </c>
      <c r="E869" t="s">
        <v>74</v>
      </c>
      <c r="F869" t="s">
        <v>11158</v>
      </c>
      <c r="G869" t="s">
        <v>74</v>
      </c>
      <c r="H869" t="s">
        <v>74</v>
      </c>
      <c r="I869" t="s">
        <v>11159</v>
      </c>
      <c r="J869" t="s">
        <v>5548</v>
      </c>
      <c r="K869" t="s">
        <v>74</v>
      </c>
      <c r="L869" t="s">
        <v>74</v>
      </c>
      <c r="M869" t="s">
        <v>77</v>
      </c>
      <c r="N869" t="s">
        <v>78</v>
      </c>
      <c r="O869" t="s">
        <v>74</v>
      </c>
      <c r="P869" t="s">
        <v>74</v>
      </c>
      <c r="Q869" t="s">
        <v>74</v>
      </c>
      <c r="R869" t="s">
        <v>74</v>
      </c>
      <c r="S869" t="s">
        <v>74</v>
      </c>
      <c r="T869" t="s">
        <v>11160</v>
      </c>
      <c r="U869" t="s">
        <v>11161</v>
      </c>
      <c r="V869" t="s">
        <v>11162</v>
      </c>
      <c r="W869" t="s">
        <v>11163</v>
      </c>
      <c r="X869" t="s">
        <v>11164</v>
      </c>
      <c r="Y869" t="s">
        <v>11165</v>
      </c>
      <c r="Z869" t="s">
        <v>74</v>
      </c>
      <c r="AA869" t="s">
        <v>11166</v>
      </c>
      <c r="AB869" t="s">
        <v>11167</v>
      </c>
      <c r="AC869" t="s">
        <v>74</v>
      </c>
      <c r="AD869" t="s">
        <v>74</v>
      </c>
      <c r="AE869" t="s">
        <v>74</v>
      </c>
      <c r="AF869" t="s">
        <v>74</v>
      </c>
      <c r="AG869">
        <v>32</v>
      </c>
      <c r="AH869">
        <v>65</v>
      </c>
      <c r="AI869">
        <v>69</v>
      </c>
      <c r="AJ869">
        <v>1</v>
      </c>
      <c r="AK869">
        <v>13</v>
      </c>
      <c r="AL869" t="s">
        <v>5555</v>
      </c>
      <c r="AM869" t="s">
        <v>5269</v>
      </c>
      <c r="AN869" t="s">
        <v>5556</v>
      </c>
      <c r="AO869" t="s">
        <v>5557</v>
      </c>
      <c r="AP869" t="s">
        <v>74</v>
      </c>
      <c r="AQ869" t="s">
        <v>74</v>
      </c>
      <c r="AR869" t="s">
        <v>5558</v>
      </c>
      <c r="AS869" t="s">
        <v>5559</v>
      </c>
      <c r="AT869" t="s">
        <v>10744</v>
      </c>
      <c r="AU869">
        <v>1999</v>
      </c>
      <c r="AV869">
        <v>32</v>
      </c>
      <c r="AW869">
        <v>2</v>
      </c>
      <c r="AX869" t="s">
        <v>74</v>
      </c>
      <c r="AY869" t="s">
        <v>74</v>
      </c>
      <c r="AZ869" t="s">
        <v>74</v>
      </c>
      <c r="BA869" t="s">
        <v>74</v>
      </c>
      <c r="BB869">
        <v>281</v>
      </c>
      <c r="BC869">
        <v>314</v>
      </c>
      <c r="BD869" t="s">
        <v>74</v>
      </c>
      <c r="BE869" t="s">
        <v>11168</v>
      </c>
      <c r="BF869" t="str">
        <f>HYPERLINK("http://dx.doi.org/10.1023/A:1006111216966","http://dx.doi.org/10.1023/A:1006111216966")</f>
        <v>http://dx.doi.org/10.1023/A:1006111216966</v>
      </c>
      <c r="BG869" t="s">
        <v>74</v>
      </c>
      <c r="BH869" t="s">
        <v>74</v>
      </c>
      <c r="BI869">
        <v>34</v>
      </c>
      <c r="BJ869" t="s">
        <v>5561</v>
      </c>
      <c r="BK869" t="s">
        <v>96</v>
      </c>
      <c r="BL869" t="s">
        <v>5562</v>
      </c>
      <c r="BM869" t="s">
        <v>11169</v>
      </c>
      <c r="BN869" t="s">
        <v>74</v>
      </c>
      <c r="BO869" t="s">
        <v>74</v>
      </c>
      <c r="BP869" t="s">
        <v>74</v>
      </c>
      <c r="BQ869" t="s">
        <v>74</v>
      </c>
      <c r="BR869" t="s">
        <v>99</v>
      </c>
      <c r="BS869" t="s">
        <v>11170</v>
      </c>
      <c r="BT869" t="str">
        <f>HYPERLINK("https%3A%2F%2Fwww.webofscience.com%2Fwos%2Fwoscc%2Ffull-record%2FWOS:000079328000003","View Full Record in Web of Science")</f>
        <v>View Full Record in Web of Science</v>
      </c>
    </row>
    <row r="870" spans="1:72" x14ac:dyDescent="0.15">
      <c r="A870" t="s">
        <v>72</v>
      </c>
      <c r="B870" t="s">
        <v>11171</v>
      </c>
      <c r="C870" t="s">
        <v>74</v>
      </c>
      <c r="D870" t="s">
        <v>74</v>
      </c>
      <c r="E870" t="s">
        <v>74</v>
      </c>
      <c r="F870" t="s">
        <v>11171</v>
      </c>
      <c r="G870" t="s">
        <v>74</v>
      </c>
      <c r="H870" t="s">
        <v>74</v>
      </c>
      <c r="I870" t="s">
        <v>11172</v>
      </c>
      <c r="J870" t="s">
        <v>2235</v>
      </c>
      <c r="K870" t="s">
        <v>74</v>
      </c>
      <c r="L870" t="s">
        <v>74</v>
      </c>
      <c r="M870" t="s">
        <v>77</v>
      </c>
      <c r="N870" t="s">
        <v>78</v>
      </c>
      <c r="O870" t="s">
        <v>74</v>
      </c>
      <c r="P870" t="s">
        <v>74</v>
      </c>
      <c r="Q870" t="s">
        <v>74</v>
      </c>
      <c r="R870" t="s">
        <v>74</v>
      </c>
      <c r="S870" t="s">
        <v>74</v>
      </c>
      <c r="T870" t="s">
        <v>74</v>
      </c>
      <c r="U870" t="s">
        <v>11173</v>
      </c>
      <c r="V870" t="s">
        <v>11174</v>
      </c>
      <c r="W870" t="s">
        <v>406</v>
      </c>
      <c r="X870" t="s">
        <v>407</v>
      </c>
      <c r="Y870" t="s">
        <v>11175</v>
      </c>
      <c r="Z870" t="s">
        <v>11176</v>
      </c>
      <c r="AA870" t="s">
        <v>74</v>
      </c>
      <c r="AB870" t="s">
        <v>74</v>
      </c>
      <c r="AC870" t="s">
        <v>74</v>
      </c>
      <c r="AD870" t="s">
        <v>74</v>
      </c>
      <c r="AE870" t="s">
        <v>74</v>
      </c>
      <c r="AF870" t="s">
        <v>74</v>
      </c>
      <c r="AG870">
        <v>43</v>
      </c>
      <c r="AH870">
        <v>63</v>
      </c>
      <c r="AI870">
        <v>66</v>
      </c>
      <c r="AJ870">
        <v>0</v>
      </c>
      <c r="AK870">
        <v>3</v>
      </c>
      <c r="AL870" t="s">
        <v>86</v>
      </c>
      <c r="AM870" t="s">
        <v>87</v>
      </c>
      <c r="AN870" t="s">
        <v>88</v>
      </c>
      <c r="AO870" t="s">
        <v>2242</v>
      </c>
      <c r="AP870" t="s">
        <v>74</v>
      </c>
      <c r="AQ870" t="s">
        <v>74</v>
      </c>
      <c r="AR870" t="s">
        <v>2243</v>
      </c>
      <c r="AS870" t="s">
        <v>2244</v>
      </c>
      <c r="AT870" t="s">
        <v>10744</v>
      </c>
      <c r="AU870">
        <v>1999</v>
      </c>
      <c r="AV870">
        <v>12</v>
      </c>
      <c r="AW870">
        <v>2</v>
      </c>
      <c r="AX870" t="s">
        <v>74</v>
      </c>
      <c r="AY870" t="s">
        <v>74</v>
      </c>
      <c r="AZ870" t="s">
        <v>74</v>
      </c>
      <c r="BA870" t="s">
        <v>74</v>
      </c>
      <c r="BB870">
        <v>621</v>
      </c>
      <c r="BC870">
        <v>641</v>
      </c>
      <c r="BD870" t="s">
        <v>74</v>
      </c>
      <c r="BE870" t="s">
        <v>11177</v>
      </c>
      <c r="BF870" t="str">
        <f>HYPERLINK("http://dx.doi.org/10.1175/1520-0442(1999)012&lt;0621:AMODML&gt;2.0.CO;2","http://dx.doi.org/10.1175/1520-0442(1999)012&lt;0621:AMODML&gt;2.0.CO;2")</f>
        <v>http://dx.doi.org/10.1175/1520-0442(1999)012&lt;0621:AMODML&gt;2.0.CO;2</v>
      </c>
      <c r="BG870" t="s">
        <v>74</v>
      </c>
      <c r="BH870" t="s">
        <v>74</v>
      </c>
      <c r="BI870">
        <v>21</v>
      </c>
      <c r="BJ870" t="s">
        <v>95</v>
      </c>
      <c r="BK870" t="s">
        <v>96</v>
      </c>
      <c r="BL870" t="s">
        <v>95</v>
      </c>
      <c r="BM870" t="s">
        <v>11178</v>
      </c>
      <c r="BN870" t="s">
        <v>74</v>
      </c>
      <c r="BO870" t="s">
        <v>250</v>
      </c>
      <c r="BP870" t="s">
        <v>74</v>
      </c>
      <c r="BQ870" t="s">
        <v>74</v>
      </c>
      <c r="BR870" t="s">
        <v>99</v>
      </c>
      <c r="BS870" t="s">
        <v>11179</v>
      </c>
      <c r="BT870" t="str">
        <f>HYPERLINK("https%3A%2F%2Fwww.webofscience.com%2Fwos%2Fwoscc%2Ffull-record%2FWOS:000079037700022","View Full Record in Web of Science")</f>
        <v>View Full Record in Web of Science</v>
      </c>
    </row>
    <row r="871" spans="1:72" x14ac:dyDescent="0.15">
      <c r="A871" t="s">
        <v>72</v>
      </c>
      <c r="B871" t="s">
        <v>11180</v>
      </c>
      <c r="C871" t="s">
        <v>74</v>
      </c>
      <c r="D871" t="s">
        <v>74</v>
      </c>
      <c r="E871" t="s">
        <v>74</v>
      </c>
      <c r="F871" t="s">
        <v>11180</v>
      </c>
      <c r="G871" t="s">
        <v>74</v>
      </c>
      <c r="H871" t="s">
        <v>74</v>
      </c>
      <c r="I871" t="s">
        <v>11181</v>
      </c>
      <c r="J871" t="s">
        <v>1063</v>
      </c>
      <c r="K871" t="s">
        <v>74</v>
      </c>
      <c r="L871" t="s">
        <v>74</v>
      </c>
      <c r="M871" t="s">
        <v>77</v>
      </c>
      <c r="N871" t="s">
        <v>78</v>
      </c>
      <c r="O871" t="s">
        <v>74</v>
      </c>
      <c r="P871" t="s">
        <v>74</v>
      </c>
      <c r="Q871" t="s">
        <v>74</v>
      </c>
      <c r="R871" t="s">
        <v>74</v>
      </c>
      <c r="S871" t="s">
        <v>74</v>
      </c>
      <c r="T871" t="s">
        <v>74</v>
      </c>
      <c r="U871" t="s">
        <v>11182</v>
      </c>
      <c r="V871" t="s">
        <v>11183</v>
      </c>
      <c r="W871" t="s">
        <v>11184</v>
      </c>
      <c r="X871" t="s">
        <v>11185</v>
      </c>
      <c r="Y871" t="s">
        <v>11186</v>
      </c>
      <c r="Z871" t="s">
        <v>11187</v>
      </c>
      <c r="AA871" t="s">
        <v>74</v>
      </c>
      <c r="AB871" t="s">
        <v>11188</v>
      </c>
      <c r="AC871" t="s">
        <v>74</v>
      </c>
      <c r="AD871" t="s">
        <v>74</v>
      </c>
      <c r="AE871" t="s">
        <v>74</v>
      </c>
      <c r="AF871" t="s">
        <v>74</v>
      </c>
      <c r="AG871">
        <v>16</v>
      </c>
      <c r="AH871">
        <v>25</v>
      </c>
      <c r="AI871">
        <v>28</v>
      </c>
      <c r="AJ871">
        <v>0</v>
      </c>
      <c r="AK871">
        <v>2</v>
      </c>
      <c r="AL871" t="s">
        <v>230</v>
      </c>
      <c r="AM871" t="s">
        <v>231</v>
      </c>
      <c r="AN871" t="s">
        <v>232</v>
      </c>
      <c r="AO871" t="s">
        <v>1070</v>
      </c>
      <c r="AP871" t="s">
        <v>1071</v>
      </c>
      <c r="AQ871" t="s">
        <v>74</v>
      </c>
      <c r="AR871" t="s">
        <v>1072</v>
      </c>
      <c r="AS871" t="s">
        <v>1073</v>
      </c>
      <c r="AT871" t="s">
        <v>11126</v>
      </c>
      <c r="AU871">
        <v>1999</v>
      </c>
      <c r="AV871">
        <v>104</v>
      </c>
      <c r="AW871" t="s">
        <v>11189</v>
      </c>
      <c r="AX871" t="s">
        <v>74</v>
      </c>
      <c r="AY871" t="s">
        <v>74</v>
      </c>
      <c r="AZ871" t="s">
        <v>74</v>
      </c>
      <c r="BA871" t="s">
        <v>74</v>
      </c>
      <c r="BB871">
        <v>2333</v>
      </c>
      <c r="BC871">
        <v>2342</v>
      </c>
      <c r="BD871" t="s">
        <v>74</v>
      </c>
      <c r="BE871" t="s">
        <v>11190</v>
      </c>
      <c r="BF871" t="str">
        <f>HYPERLINK("http://dx.doi.org/10.1029/1998JA900084","http://dx.doi.org/10.1029/1998JA900084")</f>
        <v>http://dx.doi.org/10.1029/1998JA900084</v>
      </c>
      <c r="BG871" t="s">
        <v>74</v>
      </c>
      <c r="BH871" t="s">
        <v>74</v>
      </c>
      <c r="BI871">
        <v>10</v>
      </c>
      <c r="BJ871" t="s">
        <v>1076</v>
      </c>
      <c r="BK871" t="s">
        <v>96</v>
      </c>
      <c r="BL871" t="s">
        <v>1076</v>
      </c>
      <c r="BM871" t="s">
        <v>11191</v>
      </c>
      <c r="BN871" t="s">
        <v>74</v>
      </c>
      <c r="BO871" t="s">
        <v>250</v>
      </c>
      <c r="BP871" t="s">
        <v>74</v>
      </c>
      <c r="BQ871" t="s">
        <v>74</v>
      </c>
      <c r="BR871" t="s">
        <v>99</v>
      </c>
      <c r="BS871" t="s">
        <v>11192</v>
      </c>
      <c r="BT871" t="str">
        <f>HYPERLINK("https%3A%2F%2Fwww.webofscience.com%2Fwos%2Fwoscc%2Ffull-record%2FWOS:000078823900002","View Full Record in Web of Science")</f>
        <v>View Full Record in Web of Science</v>
      </c>
    </row>
    <row r="872" spans="1:72" x14ac:dyDescent="0.15">
      <c r="A872" t="s">
        <v>72</v>
      </c>
      <c r="B872" t="s">
        <v>11193</v>
      </c>
      <c r="C872" t="s">
        <v>74</v>
      </c>
      <c r="D872" t="s">
        <v>74</v>
      </c>
      <c r="E872" t="s">
        <v>74</v>
      </c>
      <c r="F872" t="s">
        <v>11193</v>
      </c>
      <c r="G872" t="s">
        <v>74</v>
      </c>
      <c r="H872" t="s">
        <v>74</v>
      </c>
      <c r="I872" t="s">
        <v>11194</v>
      </c>
      <c r="J872" t="s">
        <v>1063</v>
      </c>
      <c r="K872" t="s">
        <v>74</v>
      </c>
      <c r="L872" t="s">
        <v>74</v>
      </c>
      <c r="M872" t="s">
        <v>77</v>
      </c>
      <c r="N872" t="s">
        <v>78</v>
      </c>
      <c r="O872" t="s">
        <v>74</v>
      </c>
      <c r="P872" t="s">
        <v>74</v>
      </c>
      <c r="Q872" t="s">
        <v>74</v>
      </c>
      <c r="R872" t="s">
        <v>74</v>
      </c>
      <c r="S872" t="s">
        <v>74</v>
      </c>
      <c r="T872" t="s">
        <v>74</v>
      </c>
      <c r="U872" t="s">
        <v>11195</v>
      </c>
      <c r="V872" t="s">
        <v>11196</v>
      </c>
      <c r="W872" t="s">
        <v>11197</v>
      </c>
      <c r="X872" t="s">
        <v>9113</v>
      </c>
      <c r="Y872" t="s">
        <v>11198</v>
      </c>
      <c r="Z872" t="s">
        <v>11199</v>
      </c>
      <c r="AA872" t="s">
        <v>74</v>
      </c>
      <c r="AB872" t="s">
        <v>11200</v>
      </c>
      <c r="AC872" t="s">
        <v>74</v>
      </c>
      <c r="AD872" t="s">
        <v>74</v>
      </c>
      <c r="AE872" t="s">
        <v>74</v>
      </c>
      <c r="AF872" t="s">
        <v>74</v>
      </c>
      <c r="AG872">
        <v>35</v>
      </c>
      <c r="AH872">
        <v>4</v>
      </c>
      <c r="AI872">
        <v>4</v>
      </c>
      <c r="AJ872">
        <v>0</v>
      </c>
      <c r="AK872">
        <v>0</v>
      </c>
      <c r="AL872" t="s">
        <v>230</v>
      </c>
      <c r="AM872" t="s">
        <v>231</v>
      </c>
      <c r="AN872" t="s">
        <v>232</v>
      </c>
      <c r="AO872" t="s">
        <v>1070</v>
      </c>
      <c r="AP872" t="s">
        <v>1071</v>
      </c>
      <c r="AQ872" t="s">
        <v>74</v>
      </c>
      <c r="AR872" t="s">
        <v>1072</v>
      </c>
      <c r="AS872" t="s">
        <v>1073</v>
      </c>
      <c r="AT872" t="s">
        <v>11126</v>
      </c>
      <c r="AU872">
        <v>1999</v>
      </c>
      <c r="AV872">
        <v>104</v>
      </c>
      <c r="AW872" t="s">
        <v>11189</v>
      </c>
      <c r="AX872" t="s">
        <v>74</v>
      </c>
      <c r="AY872" t="s">
        <v>74</v>
      </c>
      <c r="AZ872" t="s">
        <v>74</v>
      </c>
      <c r="BA872" t="s">
        <v>74</v>
      </c>
      <c r="BB872">
        <v>2511</v>
      </c>
      <c r="BC872">
        <v>2519</v>
      </c>
      <c r="BD872" t="s">
        <v>74</v>
      </c>
      <c r="BE872" t="s">
        <v>11201</v>
      </c>
      <c r="BF872" t="str">
        <f>HYPERLINK("http://dx.doi.org/10.1029/1998JA900057","http://dx.doi.org/10.1029/1998JA900057")</f>
        <v>http://dx.doi.org/10.1029/1998JA900057</v>
      </c>
      <c r="BG872" t="s">
        <v>74</v>
      </c>
      <c r="BH872" t="s">
        <v>74</v>
      </c>
      <c r="BI872">
        <v>9</v>
      </c>
      <c r="BJ872" t="s">
        <v>1076</v>
      </c>
      <c r="BK872" t="s">
        <v>96</v>
      </c>
      <c r="BL872" t="s">
        <v>1076</v>
      </c>
      <c r="BM872" t="s">
        <v>11191</v>
      </c>
      <c r="BN872" t="s">
        <v>74</v>
      </c>
      <c r="BO872" t="s">
        <v>74</v>
      </c>
      <c r="BP872" t="s">
        <v>74</v>
      </c>
      <c r="BQ872" t="s">
        <v>74</v>
      </c>
      <c r="BR872" t="s">
        <v>99</v>
      </c>
      <c r="BS872" t="s">
        <v>11202</v>
      </c>
      <c r="BT872" t="str">
        <f>HYPERLINK("https%3A%2F%2Fwww.webofscience.com%2Fwos%2Fwoscc%2Ffull-record%2FWOS:000078823900018","View Full Record in Web of Science")</f>
        <v>View Full Record in Web of Science</v>
      </c>
    </row>
    <row r="873" spans="1:72" x14ac:dyDescent="0.15">
      <c r="A873" t="s">
        <v>72</v>
      </c>
      <c r="B873" t="s">
        <v>11203</v>
      </c>
      <c r="C873" t="s">
        <v>74</v>
      </c>
      <c r="D873" t="s">
        <v>74</v>
      </c>
      <c r="E873" t="s">
        <v>74</v>
      </c>
      <c r="F873" t="s">
        <v>11203</v>
      </c>
      <c r="G873" t="s">
        <v>74</v>
      </c>
      <c r="H873" t="s">
        <v>74</v>
      </c>
      <c r="I873" t="s">
        <v>11204</v>
      </c>
      <c r="J873" t="s">
        <v>6932</v>
      </c>
      <c r="K873" t="s">
        <v>74</v>
      </c>
      <c r="L873" t="s">
        <v>74</v>
      </c>
      <c r="M873" t="s">
        <v>77</v>
      </c>
      <c r="N873" t="s">
        <v>78</v>
      </c>
      <c r="O873" t="s">
        <v>74</v>
      </c>
      <c r="P873" t="s">
        <v>74</v>
      </c>
      <c r="Q873" t="s">
        <v>74</v>
      </c>
      <c r="R873" t="s">
        <v>74</v>
      </c>
      <c r="S873" t="s">
        <v>74</v>
      </c>
      <c r="T873" t="s">
        <v>11205</v>
      </c>
      <c r="U873" t="s">
        <v>11206</v>
      </c>
      <c r="V873" t="s">
        <v>11207</v>
      </c>
      <c r="W873" t="s">
        <v>11208</v>
      </c>
      <c r="X873" t="s">
        <v>11209</v>
      </c>
      <c r="Y873" t="s">
        <v>4731</v>
      </c>
      <c r="Z873" t="s">
        <v>4732</v>
      </c>
      <c r="AA873" t="s">
        <v>11210</v>
      </c>
      <c r="AB873" t="s">
        <v>11211</v>
      </c>
      <c r="AC873" t="s">
        <v>74</v>
      </c>
      <c r="AD873" t="s">
        <v>74</v>
      </c>
      <c r="AE873" t="s">
        <v>74</v>
      </c>
      <c r="AF873" t="s">
        <v>74</v>
      </c>
      <c r="AG873">
        <v>62</v>
      </c>
      <c r="AH873">
        <v>50</v>
      </c>
      <c r="AI873">
        <v>55</v>
      </c>
      <c r="AJ873">
        <v>0</v>
      </c>
      <c r="AK873">
        <v>11</v>
      </c>
      <c r="AL873" t="s">
        <v>210</v>
      </c>
      <c r="AM873" t="s">
        <v>211</v>
      </c>
      <c r="AN873" t="s">
        <v>212</v>
      </c>
      <c r="AO873" t="s">
        <v>6941</v>
      </c>
      <c r="AP873" t="s">
        <v>10253</v>
      </c>
      <c r="AQ873" t="s">
        <v>74</v>
      </c>
      <c r="AR873" t="s">
        <v>6942</v>
      </c>
      <c r="AS873" t="s">
        <v>6943</v>
      </c>
      <c r="AT873" t="s">
        <v>10744</v>
      </c>
      <c r="AU873">
        <v>1999</v>
      </c>
      <c r="AV873">
        <v>19</v>
      </c>
      <c r="AW873" t="s">
        <v>2622</v>
      </c>
      <c r="AX873" t="s">
        <v>74</v>
      </c>
      <c r="AY873" t="s">
        <v>74</v>
      </c>
      <c r="AZ873" t="s">
        <v>74</v>
      </c>
      <c r="BA873" t="s">
        <v>74</v>
      </c>
      <c r="BB873">
        <v>47</v>
      </c>
      <c r="BC873">
        <v>64</v>
      </c>
      <c r="BD873" t="s">
        <v>74</v>
      </c>
      <c r="BE873" t="s">
        <v>11212</v>
      </c>
      <c r="BF873" t="str">
        <f>HYPERLINK("http://dx.doi.org/10.1016/S0924-7963(98)00023-2","http://dx.doi.org/10.1016/S0924-7963(98)00023-2")</f>
        <v>http://dx.doi.org/10.1016/S0924-7963(98)00023-2</v>
      </c>
      <c r="BG873" t="s">
        <v>74</v>
      </c>
      <c r="BH873" t="s">
        <v>74</v>
      </c>
      <c r="BI873">
        <v>18</v>
      </c>
      <c r="BJ873" t="s">
        <v>6945</v>
      </c>
      <c r="BK873" t="s">
        <v>96</v>
      </c>
      <c r="BL873" t="s">
        <v>6946</v>
      </c>
      <c r="BM873" t="s">
        <v>11213</v>
      </c>
      <c r="BN873" t="s">
        <v>74</v>
      </c>
      <c r="BO873" t="s">
        <v>74</v>
      </c>
      <c r="BP873" t="s">
        <v>74</v>
      </c>
      <c r="BQ873" t="s">
        <v>74</v>
      </c>
      <c r="BR873" t="s">
        <v>99</v>
      </c>
      <c r="BS873" t="s">
        <v>11214</v>
      </c>
      <c r="BT873" t="str">
        <f>HYPERLINK("https%3A%2F%2Fwww.webofscience.com%2Fwos%2Fwoscc%2Ffull-record%2FWOS:000078643600003","View Full Record in Web of Science")</f>
        <v>View Full Record in Web of Science</v>
      </c>
    </row>
    <row r="874" spans="1:72" x14ac:dyDescent="0.15">
      <c r="A874" t="s">
        <v>72</v>
      </c>
      <c r="B874" t="s">
        <v>11215</v>
      </c>
      <c r="C874" t="s">
        <v>74</v>
      </c>
      <c r="D874" t="s">
        <v>74</v>
      </c>
      <c r="E874" t="s">
        <v>74</v>
      </c>
      <c r="F874" t="s">
        <v>11215</v>
      </c>
      <c r="G874" t="s">
        <v>74</v>
      </c>
      <c r="H874" t="s">
        <v>74</v>
      </c>
      <c r="I874" t="s">
        <v>11216</v>
      </c>
      <c r="J874" t="s">
        <v>11217</v>
      </c>
      <c r="K874" t="s">
        <v>74</v>
      </c>
      <c r="L874" t="s">
        <v>74</v>
      </c>
      <c r="M874" t="s">
        <v>77</v>
      </c>
      <c r="N874" t="s">
        <v>78</v>
      </c>
      <c r="O874" t="s">
        <v>74</v>
      </c>
      <c r="P874" t="s">
        <v>74</v>
      </c>
      <c r="Q874" t="s">
        <v>74</v>
      </c>
      <c r="R874" t="s">
        <v>74</v>
      </c>
      <c r="S874" t="s">
        <v>74</v>
      </c>
      <c r="T874" t="s">
        <v>74</v>
      </c>
      <c r="U874" t="s">
        <v>11218</v>
      </c>
      <c r="V874" t="s">
        <v>11219</v>
      </c>
      <c r="W874" t="s">
        <v>11220</v>
      </c>
      <c r="X874" t="s">
        <v>11221</v>
      </c>
      <c r="Y874" t="s">
        <v>11222</v>
      </c>
      <c r="Z874" t="s">
        <v>11223</v>
      </c>
      <c r="AA874" t="s">
        <v>10518</v>
      </c>
      <c r="AB874" t="s">
        <v>10519</v>
      </c>
      <c r="AC874" t="s">
        <v>74</v>
      </c>
      <c r="AD874" t="s">
        <v>74</v>
      </c>
      <c r="AE874" t="s">
        <v>74</v>
      </c>
      <c r="AF874" t="s">
        <v>74</v>
      </c>
      <c r="AG874">
        <v>26</v>
      </c>
      <c r="AH874">
        <v>12</v>
      </c>
      <c r="AI874">
        <v>16</v>
      </c>
      <c r="AJ874">
        <v>0</v>
      </c>
      <c r="AK874">
        <v>2</v>
      </c>
      <c r="AL874" t="s">
        <v>705</v>
      </c>
      <c r="AM874" t="s">
        <v>5269</v>
      </c>
      <c r="AN874" t="s">
        <v>5270</v>
      </c>
      <c r="AO874" t="s">
        <v>11224</v>
      </c>
      <c r="AP874" t="s">
        <v>74</v>
      </c>
      <c r="AQ874" t="s">
        <v>74</v>
      </c>
      <c r="AR874" t="s">
        <v>11225</v>
      </c>
      <c r="AS874" t="s">
        <v>11226</v>
      </c>
      <c r="AT874" t="s">
        <v>10744</v>
      </c>
      <c r="AU874">
        <v>1999</v>
      </c>
      <c r="AV874">
        <v>28</v>
      </c>
      <c r="AW874">
        <v>2</v>
      </c>
      <c r="AX874" t="s">
        <v>74</v>
      </c>
      <c r="AY874" t="s">
        <v>74</v>
      </c>
      <c r="AZ874" t="s">
        <v>74</v>
      </c>
      <c r="BA874" t="s">
        <v>74</v>
      </c>
      <c r="BB874">
        <v>125</v>
      </c>
      <c r="BC874">
        <v>130</v>
      </c>
      <c r="BD874" t="s">
        <v>74</v>
      </c>
      <c r="BE874" t="s">
        <v>11227</v>
      </c>
      <c r="BF874" t="str">
        <f>HYPERLINK("http://dx.doi.org/10.1023/A:1007024222758","http://dx.doi.org/10.1023/A:1007024222758")</f>
        <v>http://dx.doi.org/10.1023/A:1007024222758</v>
      </c>
      <c r="BG874" t="s">
        <v>74</v>
      </c>
      <c r="BH874" t="s">
        <v>74</v>
      </c>
      <c r="BI874">
        <v>6</v>
      </c>
      <c r="BJ874" t="s">
        <v>11228</v>
      </c>
      <c r="BK874" t="s">
        <v>96</v>
      </c>
      <c r="BL874" t="s">
        <v>11229</v>
      </c>
      <c r="BM874" t="s">
        <v>11230</v>
      </c>
      <c r="BN874">
        <v>10590512</v>
      </c>
      <c r="BO874" t="s">
        <v>74</v>
      </c>
      <c r="BP874" t="s">
        <v>74</v>
      </c>
      <c r="BQ874" t="s">
        <v>74</v>
      </c>
      <c r="BR874" t="s">
        <v>99</v>
      </c>
      <c r="BS874" t="s">
        <v>11231</v>
      </c>
      <c r="BT874" t="str">
        <f>HYPERLINK("https%3A%2F%2Fwww.webofscience.com%2Fwos%2Fwoscc%2Ffull-record%2FWOS:000084253400003","View Full Record in Web of Science")</f>
        <v>View Full Record in Web of Science</v>
      </c>
    </row>
    <row r="875" spans="1:72" x14ac:dyDescent="0.15">
      <c r="A875" t="s">
        <v>72</v>
      </c>
      <c r="B875" t="s">
        <v>11232</v>
      </c>
      <c r="C875" t="s">
        <v>74</v>
      </c>
      <c r="D875" t="s">
        <v>74</v>
      </c>
      <c r="E875" t="s">
        <v>74</v>
      </c>
      <c r="F875" t="s">
        <v>11232</v>
      </c>
      <c r="G875" t="s">
        <v>74</v>
      </c>
      <c r="H875" t="s">
        <v>74</v>
      </c>
      <c r="I875" t="s">
        <v>11233</v>
      </c>
      <c r="J875" t="s">
        <v>11234</v>
      </c>
      <c r="K875" t="s">
        <v>74</v>
      </c>
      <c r="L875" t="s">
        <v>74</v>
      </c>
      <c r="M875" t="s">
        <v>77</v>
      </c>
      <c r="N875" t="s">
        <v>78</v>
      </c>
      <c r="O875" t="s">
        <v>74</v>
      </c>
      <c r="P875" t="s">
        <v>74</v>
      </c>
      <c r="Q875" t="s">
        <v>74</v>
      </c>
      <c r="R875" t="s">
        <v>74</v>
      </c>
      <c r="S875" t="s">
        <v>74</v>
      </c>
      <c r="T875" t="s">
        <v>74</v>
      </c>
      <c r="U875" t="s">
        <v>11235</v>
      </c>
      <c r="V875" t="s">
        <v>11236</v>
      </c>
      <c r="W875" t="s">
        <v>11237</v>
      </c>
      <c r="X875" t="s">
        <v>11238</v>
      </c>
      <c r="Y875" t="s">
        <v>11239</v>
      </c>
      <c r="Z875" t="s">
        <v>74</v>
      </c>
      <c r="AA875" t="s">
        <v>74</v>
      </c>
      <c r="AB875" t="s">
        <v>11240</v>
      </c>
      <c r="AC875" t="s">
        <v>74</v>
      </c>
      <c r="AD875" t="s">
        <v>74</v>
      </c>
      <c r="AE875" t="s">
        <v>74</v>
      </c>
      <c r="AF875" t="s">
        <v>74</v>
      </c>
      <c r="AG875">
        <v>16</v>
      </c>
      <c r="AH875">
        <v>17</v>
      </c>
      <c r="AI875">
        <v>17</v>
      </c>
      <c r="AJ875">
        <v>0</v>
      </c>
      <c r="AK875">
        <v>7</v>
      </c>
      <c r="AL875" t="s">
        <v>11241</v>
      </c>
      <c r="AM875" t="s">
        <v>2392</v>
      </c>
      <c r="AN875" t="s">
        <v>11242</v>
      </c>
      <c r="AO875" t="s">
        <v>11243</v>
      </c>
      <c r="AP875" t="s">
        <v>74</v>
      </c>
      <c r="AQ875" t="s">
        <v>74</v>
      </c>
      <c r="AR875" t="s">
        <v>11244</v>
      </c>
      <c r="AS875" t="s">
        <v>11245</v>
      </c>
      <c r="AT875" t="s">
        <v>10744</v>
      </c>
      <c r="AU875">
        <v>1999</v>
      </c>
      <c r="AV875">
        <v>85</v>
      </c>
      <c r="AW875">
        <v>1</v>
      </c>
      <c r="AX875" t="s">
        <v>74</v>
      </c>
      <c r="AY875" t="s">
        <v>74</v>
      </c>
      <c r="AZ875" t="s">
        <v>74</v>
      </c>
      <c r="BA875" t="s">
        <v>74</v>
      </c>
      <c r="BB875">
        <v>25</v>
      </c>
      <c r="BC875">
        <v>27</v>
      </c>
      <c r="BD875" t="s">
        <v>74</v>
      </c>
      <c r="BE875" t="s">
        <v>11246</v>
      </c>
      <c r="BF875" t="str">
        <f>HYPERLINK("http://dx.doi.org/10.2307/3285694","http://dx.doi.org/10.2307/3285694")</f>
        <v>http://dx.doi.org/10.2307/3285694</v>
      </c>
      <c r="BG875" t="s">
        <v>74</v>
      </c>
      <c r="BH875" t="s">
        <v>74</v>
      </c>
      <c r="BI875">
        <v>3</v>
      </c>
      <c r="BJ875" t="s">
        <v>4795</v>
      </c>
      <c r="BK875" t="s">
        <v>96</v>
      </c>
      <c r="BL875" t="s">
        <v>4795</v>
      </c>
      <c r="BM875" t="s">
        <v>11247</v>
      </c>
      <c r="BN875">
        <v>10207358</v>
      </c>
      <c r="BO875" t="s">
        <v>74</v>
      </c>
      <c r="BP875" t="s">
        <v>74</v>
      </c>
      <c r="BQ875" t="s">
        <v>74</v>
      </c>
      <c r="BR875" t="s">
        <v>99</v>
      </c>
      <c r="BS875" t="s">
        <v>11248</v>
      </c>
      <c r="BT875" t="str">
        <f>HYPERLINK("https%3A%2F%2Fwww.webofscience.com%2Fwos%2Fwoscc%2Ffull-record%2FWOS:000078806200005","View Full Record in Web of Science")</f>
        <v>View Full Record in Web of Science</v>
      </c>
    </row>
    <row r="876" spans="1:72" x14ac:dyDescent="0.15">
      <c r="A876" t="s">
        <v>72</v>
      </c>
      <c r="B876" t="s">
        <v>11249</v>
      </c>
      <c r="C876" t="s">
        <v>74</v>
      </c>
      <c r="D876" t="s">
        <v>74</v>
      </c>
      <c r="E876" t="s">
        <v>74</v>
      </c>
      <c r="F876" t="s">
        <v>11249</v>
      </c>
      <c r="G876" t="s">
        <v>74</v>
      </c>
      <c r="H876" t="s">
        <v>74</v>
      </c>
      <c r="I876" t="s">
        <v>11250</v>
      </c>
      <c r="J876" t="s">
        <v>6951</v>
      </c>
      <c r="K876" t="s">
        <v>74</v>
      </c>
      <c r="L876" t="s">
        <v>74</v>
      </c>
      <c r="M876" t="s">
        <v>77</v>
      </c>
      <c r="N876" t="s">
        <v>78</v>
      </c>
      <c r="O876" t="s">
        <v>74</v>
      </c>
      <c r="P876" t="s">
        <v>74</v>
      </c>
      <c r="Q876" t="s">
        <v>74</v>
      </c>
      <c r="R876" t="s">
        <v>74</v>
      </c>
      <c r="S876" t="s">
        <v>74</v>
      </c>
      <c r="T876" t="s">
        <v>11251</v>
      </c>
      <c r="U876" t="s">
        <v>11252</v>
      </c>
      <c r="V876" t="s">
        <v>11253</v>
      </c>
      <c r="W876" t="s">
        <v>11254</v>
      </c>
      <c r="X876" t="s">
        <v>11255</v>
      </c>
      <c r="Y876" t="s">
        <v>11256</v>
      </c>
      <c r="Z876" t="s">
        <v>11257</v>
      </c>
      <c r="AA876" t="s">
        <v>11258</v>
      </c>
      <c r="AB876" t="s">
        <v>11259</v>
      </c>
      <c r="AC876" t="s">
        <v>74</v>
      </c>
      <c r="AD876" t="s">
        <v>74</v>
      </c>
      <c r="AE876" t="s">
        <v>74</v>
      </c>
      <c r="AF876" t="s">
        <v>74</v>
      </c>
      <c r="AG876">
        <v>28</v>
      </c>
      <c r="AH876">
        <v>103</v>
      </c>
      <c r="AI876">
        <v>110</v>
      </c>
      <c r="AJ876">
        <v>0</v>
      </c>
      <c r="AK876">
        <v>14</v>
      </c>
      <c r="AL876" t="s">
        <v>997</v>
      </c>
      <c r="AM876" t="s">
        <v>998</v>
      </c>
      <c r="AN876" t="s">
        <v>999</v>
      </c>
      <c r="AO876" t="s">
        <v>6960</v>
      </c>
      <c r="AP876" t="s">
        <v>11260</v>
      </c>
      <c r="AQ876" t="s">
        <v>74</v>
      </c>
      <c r="AR876" t="s">
        <v>6961</v>
      </c>
      <c r="AS876" t="s">
        <v>6962</v>
      </c>
      <c r="AT876" t="s">
        <v>10744</v>
      </c>
      <c r="AU876">
        <v>1999</v>
      </c>
      <c r="AV876">
        <v>35</v>
      </c>
      <c r="AW876">
        <v>1</v>
      </c>
      <c r="AX876" t="s">
        <v>74</v>
      </c>
      <c r="AY876" t="s">
        <v>74</v>
      </c>
      <c r="AZ876" t="s">
        <v>74</v>
      </c>
      <c r="BA876" t="s">
        <v>74</v>
      </c>
      <c r="BB876">
        <v>186</v>
      </c>
      <c r="BC876">
        <v>197</v>
      </c>
      <c r="BD876" t="s">
        <v>74</v>
      </c>
      <c r="BE876" t="s">
        <v>11261</v>
      </c>
      <c r="BF876" t="str">
        <f>HYPERLINK("http://dx.doi.org/10.1046/j.1529-8817.1999.3510186.x","http://dx.doi.org/10.1046/j.1529-8817.1999.3510186.x")</f>
        <v>http://dx.doi.org/10.1046/j.1529-8817.1999.3510186.x</v>
      </c>
      <c r="BG876" t="s">
        <v>74</v>
      </c>
      <c r="BH876" t="s">
        <v>74</v>
      </c>
      <c r="BI876">
        <v>12</v>
      </c>
      <c r="BJ876" t="s">
        <v>2033</v>
      </c>
      <c r="BK876" t="s">
        <v>96</v>
      </c>
      <c r="BL876" t="s">
        <v>2033</v>
      </c>
      <c r="BM876" t="s">
        <v>11262</v>
      </c>
      <c r="BN876" t="s">
        <v>74</v>
      </c>
      <c r="BO876" t="s">
        <v>74</v>
      </c>
      <c r="BP876" t="s">
        <v>74</v>
      </c>
      <c r="BQ876" t="s">
        <v>74</v>
      </c>
      <c r="BR876" t="s">
        <v>99</v>
      </c>
      <c r="BS876" t="s">
        <v>11263</v>
      </c>
      <c r="BT876" t="str">
        <f>HYPERLINK("https%3A%2F%2Fwww.webofscience.com%2Fwos%2Fwoscc%2Ffull-record%2FWOS:000078926400024","View Full Record in Web of Science")</f>
        <v>View Full Record in Web of Science</v>
      </c>
    </row>
    <row r="877" spans="1:72" x14ac:dyDescent="0.15">
      <c r="A877" t="s">
        <v>72</v>
      </c>
      <c r="B877" t="s">
        <v>11264</v>
      </c>
      <c r="C877" t="s">
        <v>74</v>
      </c>
      <c r="D877" t="s">
        <v>74</v>
      </c>
      <c r="E877" t="s">
        <v>74</v>
      </c>
      <c r="F877" t="s">
        <v>11264</v>
      </c>
      <c r="G877" t="s">
        <v>74</v>
      </c>
      <c r="H877" t="s">
        <v>74</v>
      </c>
      <c r="I877" t="s">
        <v>11265</v>
      </c>
      <c r="J877" t="s">
        <v>1100</v>
      </c>
      <c r="K877" t="s">
        <v>74</v>
      </c>
      <c r="L877" t="s">
        <v>74</v>
      </c>
      <c r="M877" t="s">
        <v>77</v>
      </c>
      <c r="N877" t="s">
        <v>78</v>
      </c>
      <c r="O877" t="s">
        <v>74</v>
      </c>
      <c r="P877" t="s">
        <v>74</v>
      </c>
      <c r="Q877" t="s">
        <v>74</v>
      </c>
      <c r="R877" t="s">
        <v>74</v>
      </c>
      <c r="S877" t="s">
        <v>74</v>
      </c>
      <c r="T877" t="s">
        <v>74</v>
      </c>
      <c r="U877" t="s">
        <v>11266</v>
      </c>
      <c r="V877" t="s">
        <v>11267</v>
      </c>
      <c r="W877" t="s">
        <v>11268</v>
      </c>
      <c r="X877" t="s">
        <v>11269</v>
      </c>
      <c r="Y877" t="s">
        <v>11270</v>
      </c>
      <c r="Z877" t="s">
        <v>74</v>
      </c>
      <c r="AA877" t="s">
        <v>74</v>
      </c>
      <c r="AB877" t="s">
        <v>74</v>
      </c>
      <c r="AC877" t="s">
        <v>74</v>
      </c>
      <c r="AD877" t="s">
        <v>74</v>
      </c>
      <c r="AE877" t="s">
        <v>74</v>
      </c>
      <c r="AF877" t="s">
        <v>74</v>
      </c>
      <c r="AG877">
        <v>26</v>
      </c>
      <c r="AH877">
        <v>73</v>
      </c>
      <c r="AI877">
        <v>76</v>
      </c>
      <c r="AJ877">
        <v>0</v>
      </c>
      <c r="AK877">
        <v>4</v>
      </c>
      <c r="AL877" t="s">
        <v>86</v>
      </c>
      <c r="AM877" t="s">
        <v>87</v>
      </c>
      <c r="AN877" t="s">
        <v>88</v>
      </c>
      <c r="AO877" t="s">
        <v>1106</v>
      </c>
      <c r="AP877" t="s">
        <v>74</v>
      </c>
      <c r="AQ877" t="s">
        <v>74</v>
      </c>
      <c r="AR877" t="s">
        <v>1107</v>
      </c>
      <c r="AS877" t="s">
        <v>1108</v>
      </c>
      <c r="AT877" t="s">
        <v>10744</v>
      </c>
      <c r="AU877">
        <v>1999</v>
      </c>
      <c r="AV877">
        <v>29</v>
      </c>
      <c r="AW877">
        <v>2</v>
      </c>
      <c r="AX877" t="s">
        <v>74</v>
      </c>
      <c r="AY877" t="s">
        <v>74</v>
      </c>
      <c r="AZ877" t="s">
        <v>74</v>
      </c>
      <c r="BA877" t="s">
        <v>74</v>
      </c>
      <c r="BB877">
        <v>145</v>
      </c>
      <c r="BC877">
        <v>157</v>
      </c>
      <c r="BD877" t="s">
        <v>74</v>
      </c>
      <c r="BE877" t="s">
        <v>11271</v>
      </c>
      <c r="BF877" t="str">
        <f>HYPERLINK("http://dx.doi.org/10.1175/1520-0485(1999)029&lt;0145:CAVATS&gt;2.0.CO;2","http://dx.doi.org/10.1175/1520-0485(1999)029&lt;0145:CAVATS&gt;2.0.CO;2")</f>
        <v>http://dx.doi.org/10.1175/1520-0485(1999)029&lt;0145:CAVATS&gt;2.0.CO;2</v>
      </c>
      <c r="BG877" t="s">
        <v>74</v>
      </c>
      <c r="BH877" t="s">
        <v>74</v>
      </c>
      <c r="BI877">
        <v>13</v>
      </c>
      <c r="BJ877" t="s">
        <v>416</v>
      </c>
      <c r="BK877" t="s">
        <v>96</v>
      </c>
      <c r="BL877" t="s">
        <v>416</v>
      </c>
      <c r="BM877" t="s">
        <v>11272</v>
      </c>
      <c r="BN877" t="s">
        <v>74</v>
      </c>
      <c r="BO877" t="s">
        <v>2824</v>
      </c>
      <c r="BP877" t="s">
        <v>74</v>
      </c>
      <c r="BQ877" t="s">
        <v>74</v>
      </c>
      <c r="BR877" t="s">
        <v>99</v>
      </c>
      <c r="BS877" t="s">
        <v>11273</v>
      </c>
      <c r="BT877" t="str">
        <f>HYPERLINK("https%3A%2F%2Fwww.webofscience.com%2Fwos%2Fwoscc%2Ffull-record%2FWOS:000078870200003","View Full Record in Web of Science")</f>
        <v>View Full Record in Web of Science</v>
      </c>
    </row>
    <row r="878" spans="1:72" x14ac:dyDescent="0.15">
      <c r="A878" t="s">
        <v>72</v>
      </c>
      <c r="B878" t="s">
        <v>701</v>
      </c>
      <c r="C878" t="s">
        <v>74</v>
      </c>
      <c r="D878" t="s">
        <v>74</v>
      </c>
      <c r="E878" t="s">
        <v>74</v>
      </c>
      <c r="F878" t="s">
        <v>701</v>
      </c>
      <c r="G878" t="s">
        <v>74</v>
      </c>
      <c r="H878" t="s">
        <v>74</v>
      </c>
      <c r="I878" t="s">
        <v>11274</v>
      </c>
      <c r="J878" t="s">
        <v>9301</v>
      </c>
      <c r="K878" t="s">
        <v>74</v>
      </c>
      <c r="L878" t="s">
        <v>74</v>
      </c>
      <c r="M878" t="s">
        <v>77</v>
      </c>
      <c r="N878" t="s">
        <v>704</v>
      </c>
      <c r="O878" t="s">
        <v>74</v>
      </c>
      <c r="P878" t="s">
        <v>74</v>
      </c>
      <c r="Q878" t="s">
        <v>74</v>
      </c>
      <c r="R878" t="s">
        <v>74</v>
      </c>
      <c r="S878" t="s">
        <v>74</v>
      </c>
      <c r="T878" t="s">
        <v>74</v>
      </c>
      <c r="U878" t="s">
        <v>74</v>
      </c>
      <c r="V878" t="s">
        <v>74</v>
      </c>
      <c r="W878" t="s">
        <v>74</v>
      </c>
      <c r="X878" t="s">
        <v>74</v>
      </c>
      <c r="Y878" t="s">
        <v>74</v>
      </c>
      <c r="Z878" t="s">
        <v>74</v>
      </c>
      <c r="AA878" t="s">
        <v>74</v>
      </c>
      <c r="AB878" t="s">
        <v>74</v>
      </c>
      <c r="AC878" t="s">
        <v>74</v>
      </c>
      <c r="AD878" t="s">
        <v>74</v>
      </c>
      <c r="AE878" t="s">
        <v>74</v>
      </c>
      <c r="AF878" t="s">
        <v>74</v>
      </c>
      <c r="AG878">
        <v>0</v>
      </c>
      <c r="AH878">
        <v>0</v>
      </c>
      <c r="AI878">
        <v>0</v>
      </c>
      <c r="AJ878">
        <v>0</v>
      </c>
      <c r="AK878">
        <v>0</v>
      </c>
      <c r="AL878" t="s">
        <v>275</v>
      </c>
      <c r="AM878" t="s">
        <v>276</v>
      </c>
      <c r="AN878" t="s">
        <v>277</v>
      </c>
      <c r="AO878" t="s">
        <v>9302</v>
      </c>
      <c r="AP878" t="s">
        <v>9303</v>
      </c>
      <c r="AQ878" t="s">
        <v>74</v>
      </c>
      <c r="AR878" t="s">
        <v>9304</v>
      </c>
      <c r="AS878" t="s">
        <v>9305</v>
      </c>
      <c r="AT878" t="s">
        <v>10744</v>
      </c>
      <c r="AU878">
        <v>1999</v>
      </c>
      <c r="AV878">
        <v>38</v>
      </c>
      <c r="AW878">
        <v>2</v>
      </c>
      <c r="AX878" t="s">
        <v>74</v>
      </c>
      <c r="AY878" t="s">
        <v>74</v>
      </c>
      <c r="AZ878" t="s">
        <v>74</v>
      </c>
      <c r="BA878" t="s">
        <v>74</v>
      </c>
      <c r="BB878">
        <v>67</v>
      </c>
      <c r="BC878">
        <v>68</v>
      </c>
      <c r="BD878" t="s">
        <v>74</v>
      </c>
      <c r="BE878" t="s">
        <v>74</v>
      </c>
      <c r="BF878" t="s">
        <v>74</v>
      </c>
      <c r="BG878" t="s">
        <v>74</v>
      </c>
      <c r="BH878" t="s">
        <v>74</v>
      </c>
      <c r="BI878">
        <v>2</v>
      </c>
      <c r="BJ878" t="s">
        <v>9306</v>
      </c>
      <c r="BK878" t="s">
        <v>96</v>
      </c>
      <c r="BL878" t="s">
        <v>1704</v>
      </c>
      <c r="BM878" t="s">
        <v>11275</v>
      </c>
      <c r="BN878" t="s">
        <v>74</v>
      </c>
      <c r="BO878" t="s">
        <v>74</v>
      </c>
      <c r="BP878" t="s">
        <v>74</v>
      </c>
      <c r="BQ878" t="s">
        <v>74</v>
      </c>
      <c r="BR878" t="s">
        <v>99</v>
      </c>
      <c r="BS878" t="s">
        <v>11276</v>
      </c>
      <c r="BT878" t="str">
        <f>HYPERLINK("https%3A%2F%2Fwww.webofscience.com%2Fwos%2Fwoscc%2Ffull-record%2FWOS:000078930800005","View Full Record in Web of Science")</f>
        <v>View Full Record in Web of Science</v>
      </c>
    </row>
    <row r="879" spans="1:72" x14ac:dyDescent="0.15">
      <c r="A879" t="s">
        <v>72</v>
      </c>
      <c r="B879" t="s">
        <v>11277</v>
      </c>
      <c r="C879" t="s">
        <v>74</v>
      </c>
      <c r="D879" t="s">
        <v>74</v>
      </c>
      <c r="E879" t="s">
        <v>74</v>
      </c>
      <c r="F879" t="s">
        <v>11277</v>
      </c>
      <c r="G879" t="s">
        <v>74</v>
      </c>
      <c r="H879" t="s">
        <v>74</v>
      </c>
      <c r="I879" t="s">
        <v>11278</v>
      </c>
      <c r="J879" t="s">
        <v>7128</v>
      </c>
      <c r="K879" t="s">
        <v>74</v>
      </c>
      <c r="L879" t="s">
        <v>74</v>
      </c>
      <c r="M879" t="s">
        <v>77</v>
      </c>
      <c r="N879" t="s">
        <v>78</v>
      </c>
      <c r="O879" t="s">
        <v>74</v>
      </c>
      <c r="P879" t="s">
        <v>74</v>
      </c>
      <c r="Q879" t="s">
        <v>74</v>
      </c>
      <c r="R879" t="s">
        <v>74</v>
      </c>
      <c r="S879" t="s">
        <v>74</v>
      </c>
      <c r="T879" t="s">
        <v>74</v>
      </c>
      <c r="U879" t="s">
        <v>11279</v>
      </c>
      <c r="V879" t="s">
        <v>11280</v>
      </c>
      <c r="W879" t="s">
        <v>11281</v>
      </c>
      <c r="X879" t="s">
        <v>11282</v>
      </c>
      <c r="Y879" t="s">
        <v>11283</v>
      </c>
      <c r="Z879" t="s">
        <v>11284</v>
      </c>
      <c r="AA879" t="s">
        <v>74</v>
      </c>
      <c r="AB879" t="s">
        <v>74</v>
      </c>
      <c r="AC879" t="s">
        <v>74</v>
      </c>
      <c r="AD879" t="s">
        <v>74</v>
      </c>
      <c r="AE879" t="s">
        <v>74</v>
      </c>
      <c r="AF879" t="s">
        <v>74</v>
      </c>
      <c r="AG879">
        <v>75</v>
      </c>
      <c r="AH879">
        <v>36</v>
      </c>
      <c r="AI879">
        <v>43</v>
      </c>
      <c r="AJ879">
        <v>0</v>
      </c>
      <c r="AK879">
        <v>10</v>
      </c>
      <c r="AL879" t="s">
        <v>230</v>
      </c>
      <c r="AM879" t="s">
        <v>231</v>
      </c>
      <c r="AN879" t="s">
        <v>232</v>
      </c>
      <c r="AO879" t="s">
        <v>7136</v>
      </c>
      <c r="AP879" t="s">
        <v>9394</v>
      </c>
      <c r="AQ879" t="s">
        <v>74</v>
      </c>
      <c r="AR879" t="s">
        <v>7128</v>
      </c>
      <c r="AS879" t="s">
        <v>7137</v>
      </c>
      <c r="AT879" t="s">
        <v>10744</v>
      </c>
      <c r="AU879">
        <v>1999</v>
      </c>
      <c r="AV879">
        <v>14</v>
      </c>
      <c r="AW879">
        <v>1</v>
      </c>
      <c r="AX879" t="s">
        <v>74</v>
      </c>
      <c r="AY879" t="s">
        <v>74</v>
      </c>
      <c r="AZ879" t="s">
        <v>74</v>
      </c>
      <c r="BA879" t="s">
        <v>74</v>
      </c>
      <c r="BB879">
        <v>34</v>
      </c>
      <c r="BC879">
        <v>41</v>
      </c>
      <c r="BD879" t="s">
        <v>74</v>
      </c>
      <c r="BE879" t="s">
        <v>11285</v>
      </c>
      <c r="BF879" t="str">
        <f>HYPERLINK("http://dx.doi.org/10.1029/98PA02507","http://dx.doi.org/10.1029/98PA02507")</f>
        <v>http://dx.doi.org/10.1029/98PA02507</v>
      </c>
      <c r="BG879" t="s">
        <v>74</v>
      </c>
      <c r="BH879" t="s">
        <v>74</v>
      </c>
      <c r="BI879">
        <v>8</v>
      </c>
      <c r="BJ879" t="s">
        <v>7139</v>
      </c>
      <c r="BK879" t="s">
        <v>96</v>
      </c>
      <c r="BL879" t="s">
        <v>7140</v>
      </c>
      <c r="BM879" t="s">
        <v>11286</v>
      </c>
      <c r="BN879" t="s">
        <v>74</v>
      </c>
      <c r="BO879" t="s">
        <v>250</v>
      </c>
      <c r="BP879" t="s">
        <v>74</v>
      </c>
      <c r="BQ879" t="s">
        <v>74</v>
      </c>
      <c r="BR879" t="s">
        <v>99</v>
      </c>
      <c r="BS879" t="s">
        <v>11287</v>
      </c>
      <c r="BT879" t="str">
        <f>HYPERLINK("https%3A%2F%2Fwww.webofscience.com%2Fwos%2Fwoscc%2Ffull-record%2FWOS:000078298400004","View Full Record in Web of Science")</f>
        <v>View Full Record in Web of Science</v>
      </c>
    </row>
    <row r="880" spans="1:72" x14ac:dyDescent="0.15">
      <c r="A880" t="s">
        <v>72</v>
      </c>
      <c r="B880" t="s">
        <v>11288</v>
      </c>
      <c r="C880" t="s">
        <v>74</v>
      </c>
      <c r="D880" t="s">
        <v>74</v>
      </c>
      <c r="E880" t="s">
        <v>74</v>
      </c>
      <c r="F880" t="s">
        <v>11288</v>
      </c>
      <c r="G880" t="s">
        <v>74</v>
      </c>
      <c r="H880" t="s">
        <v>74</v>
      </c>
      <c r="I880" t="s">
        <v>11289</v>
      </c>
      <c r="J880" t="s">
        <v>1375</v>
      </c>
      <c r="K880" t="s">
        <v>74</v>
      </c>
      <c r="L880" t="s">
        <v>74</v>
      </c>
      <c r="M880" t="s">
        <v>77</v>
      </c>
      <c r="N880" t="s">
        <v>78</v>
      </c>
      <c r="O880" t="s">
        <v>74</v>
      </c>
      <c r="P880" t="s">
        <v>74</v>
      </c>
      <c r="Q880" t="s">
        <v>74</v>
      </c>
      <c r="R880" t="s">
        <v>74</v>
      </c>
      <c r="S880" t="s">
        <v>74</v>
      </c>
      <c r="T880" t="s">
        <v>74</v>
      </c>
      <c r="U880" t="s">
        <v>11290</v>
      </c>
      <c r="V880" t="s">
        <v>11291</v>
      </c>
      <c r="W880" t="s">
        <v>11292</v>
      </c>
      <c r="X880" t="s">
        <v>11293</v>
      </c>
      <c r="Y880" t="s">
        <v>11294</v>
      </c>
      <c r="Z880" t="s">
        <v>11295</v>
      </c>
      <c r="AA880" t="s">
        <v>11296</v>
      </c>
      <c r="AB880" t="s">
        <v>74</v>
      </c>
      <c r="AC880" t="s">
        <v>74</v>
      </c>
      <c r="AD880" t="s">
        <v>74</v>
      </c>
      <c r="AE880" t="s">
        <v>74</v>
      </c>
      <c r="AF880" t="s">
        <v>74</v>
      </c>
      <c r="AG880">
        <v>38</v>
      </c>
      <c r="AH880">
        <v>111</v>
      </c>
      <c r="AI880">
        <v>114</v>
      </c>
      <c r="AJ880">
        <v>0</v>
      </c>
      <c r="AK880">
        <v>26</v>
      </c>
      <c r="AL880" t="s">
        <v>553</v>
      </c>
      <c r="AM880" t="s">
        <v>554</v>
      </c>
      <c r="AN880" t="s">
        <v>555</v>
      </c>
      <c r="AO880" t="s">
        <v>1379</v>
      </c>
      <c r="AP880" t="s">
        <v>74</v>
      </c>
      <c r="AQ880" t="s">
        <v>74</v>
      </c>
      <c r="AR880" t="s">
        <v>1380</v>
      </c>
      <c r="AS880" t="s">
        <v>1381</v>
      </c>
      <c r="AT880" t="s">
        <v>10744</v>
      </c>
      <c r="AU880">
        <v>1999</v>
      </c>
      <c r="AV880">
        <v>21</v>
      </c>
      <c r="AW880">
        <v>2</v>
      </c>
      <c r="AX880" t="s">
        <v>74</v>
      </c>
      <c r="AY880" t="s">
        <v>74</v>
      </c>
      <c r="AZ880" t="s">
        <v>74</v>
      </c>
      <c r="BA880" t="s">
        <v>74</v>
      </c>
      <c r="BB880">
        <v>65</v>
      </c>
      <c r="BC880">
        <v>70</v>
      </c>
      <c r="BD880" t="s">
        <v>74</v>
      </c>
      <c r="BE880" t="s">
        <v>11297</v>
      </c>
      <c r="BF880" t="str">
        <f>HYPERLINK("http://dx.doi.org/10.1007/s003000050335","http://dx.doi.org/10.1007/s003000050335")</f>
        <v>http://dx.doi.org/10.1007/s003000050335</v>
      </c>
      <c r="BG880" t="s">
        <v>74</v>
      </c>
      <c r="BH880" t="s">
        <v>74</v>
      </c>
      <c r="BI880">
        <v>6</v>
      </c>
      <c r="BJ880" t="s">
        <v>1383</v>
      </c>
      <c r="BK880" t="s">
        <v>96</v>
      </c>
      <c r="BL880" t="s">
        <v>1384</v>
      </c>
      <c r="BM880" t="s">
        <v>11298</v>
      </c>
      <c r="BN880" t="s">
        <v>74</v>
      </c>
      <c r="BO880" t="s">
        <v>74</v>
      </c>
      <c r="BP880" t="s">
        <v>74</v>
      </c>
      <c r="BQ880" t="s">
        <v>74</v>
      </c>
      <c r="BR880" t="s">
        <v>99</v>
      </c>
      <c r="BS880" t="s">
        <v>11299</v>
      </c>
      <c r="BT880" t="str">
        <f>HYPERLINK("https%3A%2F%2Fwww.webofscience.com%2Fwos%2Fwoscc%2Ffull-record%2FWOS:000078097400001","View Full Record in Web of Science")</f>
        <v>View Full Record in Web of Science</v>
      </c>
    </row>
    <row r="881" spans="1:72" x14ac:dyDescent="0.15">
      <c r="A881" t="s">
        <v>72</v>
      </c>
      <c r="B881" t="s">
        <v>11300</v>
      </c>
      <c r="C881" t="s">
        <v>74</v>
      </c>
      <c r="D881" t="s">
        <v>74</v>
      </c>
      <c r="E881" t="s">
        <v>74</v>
      </c>
      <c r="F881" t="s">
        <v>11300</v>
      </c>
      <c r="G881" t="s">
        <v>74</v>
      </c>
      <c r="H881" t="s">
        <v>74</v>
      </c>
      <c r="I881" t="s">
        <v>11301</v>
      </c>
      <c r="J881" t="s">
        <v>1375</v>
      </c>
      <c r="K881" t="s">
        <v>74</v>
      </c>
      <c r="L881" t="s">
        <v>74</v>
      </c>
      <c r="M881" t="s">
        <v>77</v>
      </c>
      <c r="N881" t="s">
        <v>78</v>
      </c>
      <c r="O881" t="s">
        <v>74</v>
      </c>
      <c r="P881" t="s">
        <v>74</v>
      </c>
      <c r="Q881" t="s">
        <v>74</v>
      </c>
      <c r="R881" t="s">
        <v>74</v>
      </c>
      <c r="S881" t="s">
        <v>74</v>
      </c>
      <c r="T881" t="s">
        <v>74</v>
      </c>
      <c r="U881" t="s">
        <v>11302</v>
      </c>
      <c r="V881" t="s">
        <v>11303</v>
      </c>
      <c r="W881" t="s">
        <v>11304</v>
      </c>
      <c r="X881" t="s">
        <v>11305</v>
      </c>
      <c r="Y881" t="s">
        <v>11306</v>
      </c>
      <c r="Z881" t="s">
        <v>11307</v>
      </c>
      <c r="AA881" t="s">
        <v>74</v>
      </c>
      <c r="AB881" t="s">
        <v>11308</v>
      </c>
      <c r="AC881" t="s">
        <v>74</v>
      </c>
      <c r="AD881" t="s">
        <v>74</v>
      </c>
      <c r="AE881" t="s">
        <v>74</v>
      </c>
      <c r="AF881" t="s">
        <v>74</v>
      </c>
      <c r="AG881">
        <v>39</v>
      </c>
      <c r="AH881">
        <v>31</v>
      </c>
      <c r="AI881">
        <v>33</v>
      </c>
      <c r="AJ881">
        <v>0</v>
      </c>
      <c r="AK881">
        <v>4</v>
      </c>
      <c r="AL881" t="s">
        <v>553</v>
      </c>
      <c r="AM881" t="s">
        <v>554</v>
      </c>
      <c r="AN881" t="s">
        <v>555</v>
      </c>
      <c r="AO881" t="s">
        <v>1379</v>
      </c>
      <c r="AP881" t="s">
        <v>74</v>
      </c>
      <c r="AQ881" t="s">
        <v>74</v>
      </c>
      <c r="AR881" t="s">
        <v>1380</v>
      </c>
      <c r="AS881" t="s">
        <v>1381</v>
      </c>
      <c r="AT881" t="s">
        <v>10744</v>
      </c>
      <c r="AU881">
        <v>1999</v>
      </c>
      <c r="AV881">
        <v>21</v>
      </c>
      <c r="AW881">
        <v>2</v>
      </c>
      <c r="AX881" t="s">
        <v>74</v>
      </c>
      <c r="AY881" t="s">
        <v>74</v>
      </c>
      <c r="AZ881" t="s">
        <v>74</v>
      </c>
      <c r="BA881" t="s">
        <v>74</v>
      </c>
      <c r="BB881">
        <v>84</v>
      </c>
      <c r="BC881">
        <v>89</v>
      </c>
      <c r="BD881" t="s">
        <v>74</v>
      </c>
      <c r="BE881" t="s">
        <v>11309</v>
      </c>
      <c r="BF881" t="str">
        <f>HYPERLINK("http://dx.doi.org/10.1007/s003000050338","http://dx.doi.org/10.1007/s003000050338")</f>
        <v>http://dx.doi.org/10.1007/s003000050338</v>
      </c>
      <c r="BG881" t="s">
        <v>74</v>
      </c>
      <c r="BH881" t="s">
        <v>74</v>
      </c>
      <c r="BI881">
        <v>6</v>
      </c>
      <c r="BJ881" t="s">
        <v>1383</v>
      </c>
      <c r="BK881" t="s">
        <v>96</v>
      </c>
      <c r="BL881" t="s">
        <v>1384</v>
      </c>
      <c r="BM881" t="s">
        <v>11298</v>
      </c>
      <c r="BN881" t="s">
        <v>74</v>
      </c>
      <c r="BO881" t="s">
        <v>1214</v>
      </c>
      <c r="BP881" t="s">
        <v>74</v>
      </c>
      <c r="BQ881" t="s">
        <v>74</v>
      </c>
      <c r="BR881" t="s">
        <v>99</v>
      </c>
      <c r="BS881" t="s">
        <v>11310</v>
      </c>
      <c r="BT881" t="str">
        <f>HYPERLINK("https%3A%2F%2Fwww.webofscience.com%2Fwos%2Fwoscc%2Ffull-record%2FWOS:000078097400004","View Full Record in Web of Science")</f>
        <v>View Full Record in Web of Science</v>
      </c>
    </row>
    <row r="882" spans="1:72" x14ac:dyDescent="0.15">
      <c r="A882" t="s">
        <v>72</v>
      </c>
      <c r="B882" t="s">
        <v>11311</v>
      </c>
      <c r="C882" t="s">
        <v>74</v>
      </c>
      <c r="D882" t="s">
        <v>74</v>
      </c>
      <c r="E882" t="s">
        <v>74</v>
      </c>
      <c r="F882" t="s">
        <v>11311</v>
      </c>
      <c r="G882" t="s">
        <v>74</v>
      </c>
      <c r="H882" t="s">
        <v>74</v>
      </c>
      <c r="I882" t="s">
        <v>11312</v>
      </c>
      <c r="J882" t="s">
        <v>1375</v>
      </c>
      <c r="K882" t="s">
        <v>74</v>
      </c>
      <c r="L882" t="s">
        <v>74</v>
      </c>
      <c r="M882" t="s">
        <v>77</v>
      </c>
      <c r="N882" t="s">
        <v>78</v>
      </c>
      <c r="O882" t="s">
        <v>74</v>
      </c>
      <c r="P882" t="s">
        <v>74</v>
      </c>
      <c r="Q882" t="s">
        <v>74</v>
      </c>
      <c r="R882" t="s">
        <v>74</v>
      </c>
      <c r="S882" t="s">
        <v>74</v>
      </c>
      <c r="T882" t="s">
        <v>74</v>
      </c>
      <c r="U882" t="s">
        <v>11313</v>
      </c>
      <c r="V882" t="s">
        <v>11314</v>
      </c>
      <c r="W882" t="s">
        <v>11315</v>
      </c>
      <c r="X882" t="s">
        <v>11316</v>
      </c>
      <c r="Y882" t="s">
        <v>11317</v>
      </c>
      <c r="Z882" t="s">
        <v>74</v>
      </c>
      <c r="AA882" t="s">
        <v>11318</v>
      </c>
      <c r="AB882" t="s">
        <v>11319</v>
      </c>
      <c r="AC882" t="s">
        <v>74</v>
      </c>
      <c r="AD882" t="s">
        <v>74</v>
      </c>
      <c r="AE882" t="s">
        <v>74</v>
      </c>
      <c r="AF882" t="s">
        <v>74</v>
      </c>
      <c r="AG882">
        <v>42</v>
      </c>
      <c r="AH882">
        <v>13</v>
      </c>
      <c r="AI882">
        <v>14</v>
      </c>
      <c r="AJ882">
        <v>0</v>
      </c>
      <c r="AK882">
        <v>8</v>
      </c>
      <c r="AL882" t="s">
        <v>705</v>
      </c>
      <c r="AM882" t="s">
        <v>554</v>
      </c>
      <c r="AN882" t="s">
        <v>706</v>
      </c>
      <c r="AO882" t="s">
        <v>1379</v>
      </c>
      <c r="AP882" t="s">
        <v>2523</v>
      </c>
      <c r="AQ882" t="s">
        <v>74</v>
      </c>
      <c r="AR882" t="s">
        <v>1380</v>
      </c>
      <c r="AS882" t="s">
        <v>1381</v>
      </c>
      <c r="AT882" t="s">
        <v>10744</v>
      </c>
      <c r="AU882">
        <v>1999</v>
      </c>
      <c r="AV882">
        <v>21</v>
      </c>
      <c r="AW882">
        <v>2</v>
      </c>
      <c r="AX882" t="s">
        <v>74</v>
      </c>
      <c r="AY882" t="s">
        <v>74</v>
      </c>
      <c r="AZ882" t="s">
        <v>74</v>
      </c>
      <c r="BA882" t="s">
        <v>74</v>
      </c>
      <c r="BB882">
        <v>90</v>
      </c>
      <c r="BC882">
        <v>96</v>
      </c>
      <c r="BD882" t="s">
        <v>74</v>
      </c>
      <c r="BE882" t="s">
        <v>11320</v>
      </c>
      <c r="BF882" t="str">
        <f>HYPERLINK("http://dx.doi.org/10.1007/s003000050339","http://dx.doi.org/10.1007/s003000050339")</f>
        <v>http://dx.doi.org/10.1007/s003000050339</v>
      </c>
      <c r="BG882" t="s">
        <v>74</v>
      </c>
      <c r="BH882" t="s">
        <v>74</v>
      </c>
      <c r="BI882">
        <v>7</v>
      </c>
      <c r="BJ882" t="s">
        <v>1383</v>
      </c>
      <c r="BK882" t="s">
        <v>96</v>
      </c>
      <c r="BL882" t="s">
        <v>1384</v>
      </c>
      <c r="BM882" t="s">
        <v>11298</v>
      </c>
      <c r="BN882" t="s">
        <v>74</v>
      </c>
      <c r="BO882" t="s">
        <v>74</v>
      </c>
      <c r="BP882" t="s">
        <v>74</v>
      </c>
      <c r="BQ882" t="s">
        <v>74</v>
      </c>
      <c r="BR882" t="s">
        <v>99</v>
      </c>
      <c r="BS882" t="s">
        <v>11321</v>
      </c>
      <c r="BT882" t="str">
        <f>HYPERLINK("https%3A%2F%2Fwww.webofscience.com%2Fwos%2Fwoscc%2Ffull-record%2FWOS:000078097400005","View Full Record in Web of Science")</f>
        <v>View Full Record in Web of Science</v>
      </c>
    </row>
    <row r="883" spans="1:72" x14ac:dyDescent="0.15">
      <c r="A883" t="s">
        <v>72</v>
      </c>
      <c r="B883" t="s">
        <v>11322</v>
      </c>
      <c r="C883" t="s">
        <v>74</v>
      </c>
      <c r="D883" t="s">
        <v>74</v>
      </c>
      <c r="E883" t="s">
        <v>74</v>
      </c>
      <c r="F883" t="s">
        <v>11322</v>
      </c>
      <c r="G883" t="s">
        <v>74</v>
      </c>
      <c r="H883" t="s">
        <v>74</v>
      </c>
      <c r="I883" t="s">
        <v>11323</v>
      </c>
      <c r="J883" t="s">
        <v>1375</v>
      </c>
      <c r="K883" t="s">
        <v>74</v>
      </c>
      <c r="L883" t="s">
        <v>74</v>
      </c>
      <c r="M883" t="s">
        <v>77</v>
      </c>
      <c r="N883" t="s">
        <v>78</v>
      </c>
      <c r="O883" t="s">
        <v>74</v>
      </c>
      <c r="P883" t="s">
        <v>74</v>
      </c>
      <c r="Q883" t="s">
        <v>74</v>
      </c>
      <c r="R883" t="s">
        <v>74</v>
      </c>
      <c r="S883" t="s">
        <v>74</v>
      </c>
      <c r="T883" t="s">
        <v>74</v>
      </c>
      <c r="U883" t="s">
        <v>11324</v>
      </c>
      <c r="V883" t="s">
        <v>11325</v>
      </c>
      <c r="W883" t="s">
        <v>11326</v>
      </c>
      <c r="X883" t="s">
        <v>11327</v>
      </c>
      <c r="Y883" t="s">
        <v>11328</v>
      </c>
      <c r="Z883" t="s">
        <v>74</v>
      </c>
      <c r="AA883" t="s">
        <v>74</v>
      </c>
      <c r="AB883" t="s">
        <v>74</v>
      </c>
      <c r="AC883" t="s">
        <v>74</v>
      </c>
      <c r="AD883" t="s">
        <v>74</v>
      </c>
      <c r="AE883" t="s">
        <v>74</v>
      </c>
      <c r="AF883" t="s">
        <v>74</v>
      </c>
      <c r="AG883">
        <v>37</v>
      </c>
      <c r="AH883">
        <v>47</v>
      </c>
      <c r="AI883">
        <v>55</v>
      </c>
      <c r="AJ883">
        <v>0</v>
      </c>
      <c r="AK883">
        <v>14</v>
      </c>
      <c r="AL883" t="s">
        <v>553</v>
      </c>
      <c r="AM883" t="s">
        <v>554</v>
      </c>
      <c r="AN883" t="s">
        <v>555</v>
      </c>
      <c r="AO883" t="s">
        <v>1379</v>
      </c>
      <c r="AP883" t="s">
        <v>74</v>
      </c>
      <c r="AQ883" t="s">
        <v>74</v>
      </c>
      <c r="AR883" t="s">
        <v>1380</v>
      </c>
      <c r="AS883" t="s">
        <v>1381</v>
      </c>
      <c r="AT883" t="s">
        <v>10744</v>
      </c>
      <c r="AU883">
        <v>1999</v>
      </c>
      <c r="AV883">
        <v>21</v>
      </c>
      <c r="AW883">
        <v>2</v>
      </c>
      <c r="AX883" t="s">
        <v>74</v>
      </c>
      <c r="AY883" t="s">
        <v>74</v>
      </c>
      <c r="AZ883" t="s">
        <v>74</v>
      </c>
      <c r="BA883" t="s">
        <v>74</v>
      </c>
      <c r="BB883">
        <v>97</v>
      </c>
      <c r="BC883">
        <v>111</v>
      </c>
      <c r="BD883" t="s">
        <v>74</v>
      </c>
      <c r="BE883" t="s">
        <v>11329</v>
      </c>
      <c r="BF883" t="str">
        <f>HYPERLINK("http://dx.doi.org/10.1007/s003000050340","http://dx.doi.org/10.1007/s003000050340")</f>
        <v>http://dx.doi.org/10.1007/s003000050340</v>
      </c>
      <c r="BG883" t="s">
        <v>74</v>
      </c>
      <c r="BH883" t="s">
        <v>74</v>
      </c>
      <c r="BI883">
        <v>15</v>
      </c>
      <c r="BJ883" t="s">
        <v>1383</v>
      </c>
      <c r="BK883" t="s">
        <v>96</v>
      </c>
      <c r="BL883" t="s">
        <v>1384</v>
      </c>
      <c r="BM883" t="s">
        <v>11298</v>
      </c>
      <c r="BN883" t="s">
        <v>74</v>
      </c>
      <c r="BO883" t="s">
        <v>74</v>
      </c>
      <c r="BP883" t="s">
        <v>74</v>
      </c>
      <c r="BQ883" t="s">
        <v>74</v>
      </c>
      <c r="BR883" t="s">
        <v>99</v>
      </c>
      <c r="BS883" t="s">
        <v>11330</v>
      </c>
      <c r="BT883" t="str">
        <f>HYPERLINK("https%3A%2F%2Fwww.webofscience.com%2Fwos%2Fwoscc%2Ffull-record%2FWOS:000078097400006","View Full Record in Web of Science")</f>
        <v>View Full Record in Web of Science</v>
      </c>
    </row>
    <row r="884" spans="1:72" x14ac:dyDescent="0.15">
      <c r="A884" t="s">
        <v>72</v>
      </c>
      <c r="B884" t="s">
        <v>11331</v>
      </c>
      <c r="C884" t="s">
        <v>74</v>
      </c>
      <c r="D884" t="s">
        <v>74</v>
      </c>
      <c r="E884" t="s">
        <v>74</v>
      </c>
      <c r="F884" t="s">
        <v>11331</v>
      </c>
      <c r="G884" t="s">
        <v>74</v>
      </c>
      <c r="H884" t="s">
        <v>74</v>
      </c>
      <c r="I884" t="s">
        <v>11332</v>
      </c>
      <c r="J884" t="s">
        <v>1375</v>
      </c>
      <c r="K884" t="s">
        <v>74</v>
      </c>
      <c r="L884" t="s">
        <v>74</v>
      </c>
      <c r="M884" t="s">
        <v>77</v>
      </c>
      <c r="N884" t="s">
        <v>78</v>
      </c>
      <c r="O884" t="s">
        <v>74</v>
      </c>
      <c r="P884" t="s">
        <v>74</v>
      </c>
      <c r="Q884" t="s">
        <v>74</v>
      </c>
      <c r="R884" t="s">
        <v>74</v>
      </c>
      <c r="S884" t="s">
        <v>74</v>
      </c>
      <c r="T884" t="s">
        <v>74</v>
      </c>
      <c r="U884" t="s">
        <v>11333</v>
      </c>
      <c r="V884" t="s">
        <v>11334</v>
      </c>
      <c r="W884" t="s">
        <v>11335</v>
      </c>
      <c r="X884" t="s">
        <v>1127</v>
      </c>
      <c r="Y884" t="s">
        <v>11336</v>
      </c>
      <c r="Z884" t="s">
        <v>74</v>
      </c>
      <c r="AA884" t="s">
        <v>11210</v>
      </c>
      <c r="AB884" t="s">
        <v>11211</v>
      </c>
      <c r="AC884" t="s">
        <v>74</v>
      </c>
      <c r="AD884" t="s">
        <v>74</v>
      </c>
      <c r="AE884" t="s">
        <v>74</v>
      </c>
      <c r="AF884" t="s">
        <v>74</v>
      </c>
      <c r="AG884">
        <v>41</v>
      </c>
      <c r="AH884">
        <v>20</v>
      </c>
      <c r="AI884">
        <v>20</v>
      </c>
      <c r="AJ884">
        <v>0</v>
      </c>
      <c r="AK884">
        <v>4</v>
      </c>
      <c r="AL884" t="s">
        <v>553</v>
      </c>
      <c r="AM884" t="s">
        <v>554</v>
      </c>
      <c r="AN884" t="s">
        <v>555</v>
      </c>
      <c r="AO884" t="s">
        <v>1379</v>
      </c>
      <c r="AP884" t="s">
        <v>74</v>
      </c>
      <c r="AQ884" t="s">
        <v>74</v>
      </c>
      <c r="AR884" t="s">
        <v>1380</v>
      </c>
      <c r="AS884" t="s">
        <v>1381</v>
      </c>
      <c r="AT884" t="s">
        <v>10744</v>
      </c>
      <c r="AU884">
        <v>1999</v>
      </c>
      <c r="AV884">
        <v>21</v>
      </c>
      <c r="AW884">
        <v>2</v>
      </c>
      <c r="AX884" t="s">
        <v>74</v>
      </c>
      <c r="AY884" t="s">
        <v>74</v>
      </c>
      <c r="AZ884" t="s">
        <v>74</v>
      </c>
      <c r="BA884" t="s">
        <v>74</v>
      </c>
      <c r="BB884">
        <v>112</v>
      </c>
      <c r="BC884">
        <v>121</v>
      </c>
      <c r="BD884" t="s">
        <v>74</v>
      </c>
      <c r="BE884" t="s">
        <v>11337</v>
      </c>
      <c r="BF884" t="str">
        <f>HYPERLINK("http://dx.doi.org/10.1007/s003000050341","http://dx.doi.org/10.1007/s003000050341")</f>
        <v>http://dx.doi.org/10.1007/s003000050341</v>
      </c>
      <c r="BG884" t="s">
        <v>74</v>
      </c>
      <c r="BH884" t="s">
        <v>74</v>
      </c>
      <c r="BI884">
        <v>10</v>
      </c>
      <c r="BJ884" t="s">
        <v>1383</v>
      </c>
      <c r="BK884" t="s">
        <v>96</v>
      </c>
      <c r="BL884" t="s">
        <v>1384</v>
      </c>
      <c r="BM884" t="s">
        <v>11298</v>
      </c>
      <c r="BN884" t="s">
        <v>74</v>
      </c>
      <c r="BO884" t="s">
        <v>74</v>
      </c>
      <c r="BP884" t="s">
        <v>74</v>
      </c>
      <c r="BQ884" t="s">
        <v>74</v>
      </c>
      <c r="BR884" t="s">
        <v>99</v>
      </c>
      <c r="BS884" t="s">
        <v>11338</v>
      </c>
      <c r="BT884" t="str">
        <f>HYPERLINK("https%3A%2F%2Fwww.webofscience.com%2Fwos%2Fwoscc%2Ffull-record%2FWOS:000078097400007","View Full Record in Web of Science")</f>
        <v>View Full Record in Web of Science</v>
      </c>
    </row>
    <row r="885" spans="1:72" x14ac:dyDescent="0.15">
      <c r="A885" t="s">
        <v>72</v>
      </c>
      <c r="B885" t="s">
        <v>11339</v>
      </c>
      <c r="C885" t="s">
        <v>74</v>
      </c>
      <c r="D885" t="s">
        <v>74</v>
      </c>
      <c r="E885" t="s">
        <v>74</v>
      </c>
      <c r="F885" t="s">
        <v>11339</v>
      </c>
      <c r="G885" t="s">
        <v>74</v>
      </c>
      <c r="H885" t="s">
        <v>74</v>
      </c>
      <c r="I885" t="s">
        <v>11340</v>
      </c>
      <c r="J885" t="s">
        <v>1375</v>
      </c>
      <c r="K885" t="s">
        <v>74</v>
      </c>
      <c r="L885" t="s">
        <v>74</v>
      </c>
      <c r="M885" t="s">
        <v>77</v>
      </c>
      <c r="N885" t="s">
        <v>78</v>
      </c>
      <c r="O885" t="s">
        <v>74</v>
      </c>
      <c r="P885" t="s">
        <v>74</v>
      </c>
      <c r="Q885" t="s">
        <v>74</v>
      </c>
      <c r="R885" t="s">
        <v>74</v>
      </c>
      <c r="S885" t="s">
        <v>74</v>
      </c>
      <c r="T885" t="s">
        <v>11341</v>
      </c>
      <c r="U885" t="s">
        <v>11342</v>
      </c>
      <c r="V885" t="s">
        <v>11343</v>
      </c>
      <c r="W885" t="s">
        <v>11344</v>
      </c>
      <c r="X885" t="s">
        <v>11345</v>
      </c>
      <c r="Y885" t="s">
        <v>11346</v>
      </c>
      <c r="Z885" t="s">
        <v>11347</v>
      </c>
      <c r="AA885" t="s">
        <v>11348</v>
      </c>
      <c r="AB885" t="s">
        <v>11349</v>
      </c>
      <c r="AC885" t="s">
        <v>74</v>
      </c>
      <c r="AD885" t="s">
        <v>74</v>
      </c>
      <c r="AE885" t="s">
        <v>74</v>
      </c>
      <c r="AF885" t="s">
        <v>74</v>
      </c>
      <c r="AG885">
        <v>40</v>
      </c>
      <c r="AH885">
        <v>4</v>
      </c>
      <c r="AI885">
        <v>4</v>
      </c>
      <c r="AJ885">
        <v>0</v>
      </c>
      <c r="AK885">
        <v>0</v>
      </c>
      <c r="AL885" t="s">
        <v>553</v>
      </c>
      <c r="AM885" t="s">
        <v>554</v>
      </c>
      <c r="AN885" t="s">
        <v>555</v>
      </c>
      <c r="AO885" t="s">
        <v>1379</v>
      </c>
      <c r="AP885" t="s">
        <v>74</v>
      </c>
      <c r="AQ885" t="s">
        <v>74</v>
      </c>
      <c r="AR885" t="s">
        <v>1380</v>
      </c>
      <c r="AS885" t="s">
        <v>1381</v>
      </c>
      <c r="AT885" t="s">
        <v>10744</v>
      </c>
      <c r="AU885">
        <v>1999</v>
      </c>
      <c r="AV885">
        <v>21</v>
      </c>
      <c r="AW885">
        <v>2</v>
      </c>
      <c r="AX885" t="s">
        <v>74</v>
      </c>
      <c r="AY885" t="s">
        <v>74</v>
      </c>
      <c r="AZ885" t="s">
        <v>74</v>
      </c>
      <c r="BA885" t="s">
        <v>74</v>
      </c>
      <c r="BB885">
        <v>122</v>
      </c>
      <c r="BC885">
        <v>127</v>
      </c>
      <c r="BD885" t="s">
        <v>74</v>
      </c>
      <c r="BE885" t="s">
        <v>11350</v>
      </c>
      <c r="BF885" t="str">
        <f>HYPERLINK("http://dx.doi.org/10.1007/s003000050342","http://dx.doi.org/10.1007/s003000050342")</f>
        <v>http://dx.doi.org/10.1007/s003000050342</v>
      </c>
      <c r="BG885" t="s">
        <v>74</v>
      </c>
      <c r="BH885" t="s">
        <v>74</v>
      </c>
      <c r="BI885">
        <v>6</v>
      </c>
      <c r="BJ885" t="s">
        <v>1383</v>
      </c>
      <c r="BK885" t="s">
        <v>96</v>
      </c>
      <c r="BL885" t="s">
        <v>1384</v>
      </c>
      <c r="BM885" t="s">
        <v>11298</v>
      </c>
      <c r="BN885" t="s">
        <v>74</v>
      </c>
      <c r="BO885" t="s">
        <v>74</v>
      </c>
      <c r="BP885" t="s">
        <v>74</v>
      </c>
      <c r="BQ885" t="s">
        <v>74</v>
      </c>
      <c r="BR885" t="s">
        <v>99</v>
      </c>
      <c r="BS885" t="s">
        <v>11351</v>
      </c>
      <c r="BT885" t="str">
        <f>HYPERLINK("https%3A%2F%2Fwww.webofscience.com%2Fwos%2Fwoscc%2Ffull-record%2FWOS:000078097400008","View Full Record in Web of Science")</f>
        <v>View Full Record in Web of Science</v>
      </c>
    </row>
    <row r="886" spans="1:72" x14ac:dyDescent="0.15">
      <c r="A886" t="s">
        <v>72</v>
      </c>
      <c r="B886" t="s">
        <v>11352</v>
      </c>
      <c r="C886" t="s">
        <v>74</v>
      </c>
      <c r="D886" t="s">
        <v>74</v>
      </c>
      <c r="E886" t="s">
        <v>74</v>
      </c>
      <c r="F886" t="s">
        <v>11352</v>
      </c>
      <c r="G886" t="s">
        <v>74</v>
      </c>
      <c r="H886" t="s">
        <v>74</v>
      </c>
      <c r="I886" t="s">
        <v>11353</v>
      </c>
      <c r="J886" t="s">
        <v>11354</v>
      </c>
      <c r="K886" t="s">
        <v>74</v>
      </c>
      <c r="L886" t="s">
        <v>74</v>
      </c>
      <c r="M886" t="s">
        <v>77</v>
      </c>
      <c r="N886" t="s">
        <v>78</v>
      </c>
      <c r="O886" t="s">
        <v>74</v>
      </c>
      <c r="P886" t="s">
        <v>74</v>
      </c>
      <c r="Q886" t="s">
        <v>74</v>
      </c>
      <c r="R886" t="s">
        <v>74</v>
      </c>
      <c r="S886" t="s">
        <v>74</v>
      </c>
      <c r="T886" t="s">
        <v>11355</v>
      </c>
      <c r="U886" t="s">
        <v>11356</v>
      </c>
      <c r="V886" t="s">
        <v>11357</v>
      </c>
      <c r="W886" t="s">
        <v>11358</v>
      </c>
      <c r="X886" t="s">
        <v>11359</v>
      </c>
      <c r="Y886" t="s">
        <v>11360</v>
      </c>
      <c r="Z886" t="s">
        <v>11361</v>
      </c>
      <c r="AA886" t="s">
        <v>11362</v>
      </c>
      <c r="AB886" t="s">
        <v>11363</v>
      </c>
      <c r="AC886" t="s">
        <v>74</v>
      </c>
      <c r="AD886" t="s">
        <v>74</v>
      </c>
      <c r="AE886" t="s">
        <v>74</v>
      </c>
      <c r="AF886" t="s">
        <v>74</v>
      </c>
      <c r="AG886">
        <v>49</v>
      </c>
      <c r="AH886">
        <v>12</v>
      </c>
      <c r="AI886">
        <v>13</v>
      </c>
      <c r="AJ886">
        <v>0</v>
      </c>
      <c r="AK886">
        <v>4</v>
      </c>
      <c r="AL886" t="s">
        <v>11364</v>
      </c>
      <c r="AM886" t="s">
        <v>11365</v>
      </c>
      <c r="AN886" t="s">
        <v>11366</v>
      </c>
      <c r="AO886" t="s">
        <v>11367</v>
      </c>
      <c r="AP886" t="s">
        <v>11368</v>
      </c>
      <c r="AQ886" t="s">
        <v>74</v>
      </c>
      <c r="AR886" t="s">
        <v>11369</v>
      </c>
      <c r="AS886" t="s">
        <v>11370</v>
      </c>
      <c r="AT886" t="s">
        <v>10744</v>
      </c>
      <c r="AU886">
        <v>1999</v>
      </c>
      <c r="AV886">
        <v>154</v>
      </c>
      <c r="AW886">
        <v>1</v>
      </c>
      <c r="AX886" t="s">
        <v>74</v>
      </c>
      <c r="AY886" t="s">
        <v>74</v>
      </c>
      <c r="AZ886" t="s">
        <v>74</v>
      </c>
      <c r="BA886" t="s">
        <v>74</v>
      </c>
      <c r="BB886">
        <v>121</v>
      </c>
      <c r="BC886">
        <v>139</v>
      </c>
      <c r="BD886" t="s">
        <v>74</v>
      </c>
      <c r="BE886" t="s">
        <v>11371</v>
      </c>
      <c r="BF886" t="str">
        <f>HYPERLINK("http://dx.doi.org/10.1007/s000240050224","http://dx.doi.org/10.1007/s000240050224")</f>
        <v>http://dx.doi.org/10.1007/s000240050224</v>
      </c>
      <c r="BG886" t="s">
        <v>74</v>
      </c>
      <c r="BH886" t="s">
        <v>74</v>
      </c>
      <c r="BI886">
        <v>19</v>
      </c>
      <c r="BJ886" t="s">
        <v>216</v>
      </c>
      <c r="BK886" t="s">
        <v>96</v>
      </c>
      <c r="BL886" t="s">
        <v>216</v>
      </c>
      <c r="BM886" t="s">
        <v>11372</v>
      </c>
      <c r="BN886" t="s">
        <v>74</v>
      </c>
      <c r="BO886" t="s">
        <v>74</v>
      </c>
      <c r="BP886" t="s">
        <v>74</v>
      </c>
      <c r="BQ886" t="s">
        <v>74</v>
      </c>
      <c r="BR886" t="s">
        <v>99</v>
      </c>
      <c r="BS886" t="s">
        <v>11373</v>
      </c>
      <c r="BT886" t="str">
        <f>HYPERLINK("https%3A%2F%2Fwww.webofscience.com%2Fwos%2Fwoscc%2Ffull-record%2FWOS:000079281300008","View Full Record in Web of Science")</f>
        <v>View Full Record in Web of Science</v>
      </c>
    </row>
    <row r="887" spans="1:72" x14ac:dyDescent="0.15">
      <c r="A887" t="s">
        <v>72</v>
      </c>
      <c r="B887" t="s">
        <v>11374</v>
      </c>
      <c r="C887" t="s">
        <v>74</v>
      </c>
      <c r="D887" t="s">
        <v>74</v>
      </c>
      <c r="E887" t="s">
        <v>74</v>
      </c>
      <c r="F887" t="s">
        <v>11374</v>
      </c>
      <c r="G887" t="s">
        <v>74</v>
      </c>
      <c r="H887" t="s">
        <v>74</v>
      </c>
      <c r="I887" t="s">
        <v>11375</v>
      </c>
      <c r="J887" t="s">
        <v>11376</v>
      </c>
      <c r="K887" t="s">
        <v>74</v>
      </c>
      <c r="L887" t="s">
        <v>74</v>
      </c>
      <c r="M887" t="s">
        <v>77</v>
      </c>
      <c r="N887" t="s">
        <v>78</v>
      </c>
      <c r="O887" t="s">
        <v>74</v>
      </c>
      <c r="P887" t="s">
        <v>74</v>
      </c>
      <c r="Q887" t="s">
        <v>74</v>
      </c>
      <c r="R887" t="s">
        <v>74</v>
      </c>
      <c r="S887" t="s">
        <v>74</v>
      </c>
      <c r="T887" t="s">
        <v>11377</v>
      </c>
      <c r="U887" t="s">
        <v>11378</v>
      </c>
      <c r="V887" t="s">
        <v>11379</v>
      </c>
      <c r="W887" t="s">
        <v>11380</v>
      </c>
      <c r="X887" t="s">
        <v>11381</v>
      </c>
      <c r="Y887" t="s">
        <v>11382</v>
      </c>
      <c r="Z887" t="s">
        <v>74</v>
      </c>
      <c r="AA887" t="s">
        <v>11383</v>
      </c>
      <c r="AB887" t="s">
        <v>11384</v>
      </c>
      <c r="AC887" t="s">
        <v>74</v>
      </c>
      <c r="AD887" t="s">
        <v>74</v>
      </c>
      <c r="AE887" t="s">
        <v>74</v>
      </c>
      <c r="AF887" t="s">
        <v>74</v>
      </c>
      <c r="AG887">
        <v>44</v>
      </c>
      <c r="AH887">
        <v>41</v>
      </c>
      <c r="AI887">
        <v>47</v>
      </c>
      <c r="AJ887">
        <v>0</v>
      </c>
      <c r="AK887">
        <v>8</v>
      </c>
      <c r="AL887" t="s">
        <v>135</v>
      </c>
      <c r="AM887" t="s">
        <v>136</v>
      </c>
      <c r="AN887" t="s">
        <v>137</v>
      </c>
      <c r="AO887" t="s">
        <v>11385</v>
      </c>
      <c r="AP887" t="s">
        <v>74</v>
      </c>
      <c r="AQ887" t="s">
        <v>74</v>
      </c>
      <c r="AR887" t="s">
        <v>11386</v>
      </c>
      <c r="AS887" t="s">
        <v>11387</v>
      </c>
      <c r="AT887" t="s">
        <v>10744</v>
      </c>
      <c r="AU887">
        <v>1999</v>
      </c>
      <c r="AV887">
        <v>22</v>
      </c>
      <c r="AW887">
        <v>1</v>
      </c>
      <c r="AX887" t="s">
        <v>74</v>
      </c>
      <c r="AY887" t="s">
        <v>74</v>
      </c>
      <c r="AZ887" t="s">
        <v>74</v>
      </c>
      <c r="BA887" t="s">
        <v>74</v>
      </c>
      <c r="BB887">
        <v>97</v>
      </c>
      <c r="BC887">
        <v>105</v>
      </c>
      <c r="BD887" t="s">
        <v>74</v>
      </c>
      <c r="BE887" t="s">
        <v>11388</v>
      </c>
      <c r="BF887" t="str">
        <f>HYPERLINK("http://dx.doi.org/10.1016/S0723-2020(99)80032-0","http://dx.doi.org/10.1016/S0723-2020(99)80032-0")</f>
        <v>http://dx.doi.org/10.1016/S0723-2020(99)80032-0</v>
      </c>
      <c r="BG887" t="s">
        <v>74</v>
      </c>
      <c r="BH887" t="s">
        <v>74</v>
      </c>
      <c r="BI887">
        <v>9</v>
      </c>
      <c r="BJ887" t="s">
        <v>3109</v>
      </c>
      <c r="BK887" t="s">
        <v>96</v>
      </c>
      <c r="BL887" t="s">
        <v>3109</v>
      </c>
      <c r="BM887" t="s">
        <v>11389</v>
      </c>
      <c r="BN887">
        <v>10188283</v>
      </c>
      <c r="BO887" t="s">
        <v>74</v>
      </c>
      <c r="BP887" t="s">
        <v>74</v>
      </c>
      <c r="BQ887" t="s">
        <v>74</v>
      </c>
      <c r="BR887" t="s">
        <v>99</v>
      </c>
      <c r="BS887" t="s">
        <v>11390</v>
      </c>
      <c r="BT887" t="str">
        <f>HYPERLINK("https%3A%2F%2Fwww.webofscience.com%2Fwos%2Fwoscc%2Ffull-record%2FWOS:000079214500011","View Full Record in Web of Science")</f>
        <v>View Full Record in Web of Science</v>
      </c>
    </row>
    <row r="888" spans="1:72" x14ac:dyDescent="0.15">
      <c r="A888" t="s">
        <v>72</v>
      </c>
      <c r="B888" t="s">
        <v>11391</v>
      </c>
      <c r="C888" t="s">
        <v>74</v>
      </c>
      <c r="D888" t="s">
        <v>74</v>
      </c>
      <c r="E888" t="s">
        <v>74</v>
      </c>
      <c r="F888" t="s">
        <v>11391</v>
      </c>
      <c r="G888" t="s">
        <v>74</v>
      </c>
      <c r="H888" t="s">
        <v>74</v>
      </c>
      <c r="I888" t="s">
        <v>11392</v>
      </c>
      <c r="J888" t="s">
        <v>11393</v>
      </c>
      <c r="K888" t="s">
        <v>74</v>
      </c>
      <c r="L888" t="s">
        <v>74</v>
      </c>
      <c r="M888" t="s">
        <v>77</v>
      </c>
      <c r="N888" t="s">
        <v>78</v>
      </c>
      <c r="O888" t="s">
        <v>74</v>
      </c>
      <c r="P888" t="s">
        <v>74</v>
      </c>
      <c r="Q888" t="s">
        <v>74</v>
      </c>
      <c r="R888" t="s">
        <v>74</v>
      </c>
      <c r="S888" t="s">
        <v>74</v>
      </c>
      <c r="T888" t="s">
        <v>11394</v>
      </c>
      <c r="U888" t="s">
        <v>11395</v>
      </c>
      <c r="V888" t="s">
        <v>11396</v>
      </c>
      <c r="W888" t="s">
        <v>3443</v>
      </c>
      <c r="X888" t="s">
        <v>679</v>
      </c>
      <c r="Y888" t="s">
        <v>3444</v>
      </c>
      <c r="Z888" t="s">
        <v>74</v>
      </c>
      <c r="AA888" t="s">
        <v>3445</v>
      </c>
      <c r="AB888" t="s">
        <v>11397</v>
      </c>
      <c r="AC888" t="s">
        <v>74</v>
      </c>
      <c r="AD888" t="s">
        <v>74</v>
      </c>
      <c r="AE888" t="s">
        <v>74</v>
      </c>
      <c r="AF888" t="s">
        <v>74</v>
      </c>
      <c r="AG888">
        <v>8</v>
      </c>
      <c r="AH888">
        <v>69</v>
      </c>
      <c r="AI888">
        <v>77</v>
      </c>
      <c r="AJ888">
        <v>0</v>
      </c>
      <c r="AK888">
        <v>1</v>
      </c>
      <c r="AL888" t="s">
        <v>5555</v>
      </c>
      <c r="AM888" t="s">
        <v>5269</v>
      </c>
      <c r="AN888" t="s">
        <v>5556</v>
      </c>
      <c r="AO888" t="s">
        <v>11398</v>
      </c>
      <c r="AP888" t="s">
        <v>74</v>
      </c>
      <c r="AQ888" t="s">
        <v>74</v>
      </c>
      <c r="AR888" t="s">
        <v>11399</v>
      </c>
      <c r="AS888" t="s">
        <v>11400</v>
      </c>
      <c r="AT888" t="s">
        <v>10744</v>
      </c>
      <c r="AU888">
        <v>1999</v>
      </c>
      <c r="AV888">
        <v>15</v>
      </c>
      <c r="AW888">
        <v>1</v>
      </c>
      <c r="AX888" t="s">
        <v>74</v>
      </c>
      <c r="AY888" t="s">
        <v>74</v>
      </c>
      <c r="AZ888" t="s">
        <v>74</v>
      </c>
      <c r="BA888" t="s">
        <v>74</v>
      </c>
      <c r="BB888">
        <v>143</v>
      </c>
      <c r="BC888">
        <v>145</v>
      </c>
      <c r="BD888" t="s">
        <v>74</v>
      </c>
      <c r="BE888" t="s">
        <v>74</v>
      </c>
      <c r="BF888" t="s">
        <v>74</v>
      </c>
      <c r="BG888" t="s">
        <v>74</v>
      </c>
      <c r="BH888" t="s">
        <v>74</v>
      </c>
      <c r="BI888">
        <v>3</v>
      </c>
      <c r="BJ888" t="s">
        <v>8364</v>
      </c>
      <c r="BK888" t="s">
        <v>96</v>
      </c>
      <c r="BL888" t="s">
        <v>8364</v>
      </c>
      <c r="BM888" t="s">
        <v>11401</v>
      </c>
      <c r="BN888" t="s">
        <v>74</v>
      </c>
      <c r="BO888" t="s">
        <v>74</v>
      </c>
      <c r="BP888" t="s">
        <v>74</v>
      </c>
      <c r="BQ888" t="s">
        <v>74</v>
      </c>
      <c r="BR888" t="s">
        <v>99</v>
      </c>
      <c r="BS888" t="s">
        <v>11402</v>
      </c>
      <c r="BT888" t="str">
        <f>HYPERLINK("https%3A%2F%2Fwww.webofscience.com%2Fwos%2Fwoscc%2Ffull-record%2FWOS:000080548800025","View Full Record in Web of Science")</f>
        <v>View Full Record in Web of Science</v>
      </c>
    </row>
    <row r="889" spans="1:72" x14ac:dyDescent="0.15">
      <c r="A889" t="s">
        <v>72</v>
      </c>
      <c r="B889" t="s">
        <v>11403</v>
      </c>
      <c r="C889" t="s">
        <v>74</v>
      </c>
      <c r="D889" t="s">
        <v>74</v>
      </c>
      <c r="E889" t="s">
        <v>74</v>
      </c>
      <c r="F889" t="s">
        <v>11403</v>
      </c>
      <c r="G889" t="s">
        <v>74</v>
      </c>
      <c r="H889" t="s">
        <v>74</v>
      </c>
      <c r="I889" t="s">
        <v>11404</v>
      </c>
      <c r="J889" t="s">
        <v>11405</v>
      </c>
      <c r="K889" t="s">
        <v>74</v>
      </c>
      <c r="L889" t="s">
        <v>74</v>
      </c>
      <c r="M889" t="s">
        <v>845</v>
      </c>
      <c r="N889" t="s">
        <v>78</v>
      </c>
      <c r="O889" t="s">
        <v>74</v>
      </c>
      <c r="P889" t="s">
        <v>74</v>
      </c>
      <c r="Q889" t="s">
        <v>74</v>
      </c>
      <c r="R889" t="s">
        <v>74</v>
      </c>
      <c r="S889" t="s">
        <v>74</v>
      </c>
      <c r="T889" t="s">
        <v>74</v>
      </c>
      <c r="U889" t="s">
        <v>74</v>
      </c>
      <c r="V889" t="s">
        <v>11406</v>
      </c>
      <c r="W889" t="s">
        <v>11407</v>
      </c>
      <c r="X889" t="s">
        <v>11408</v>
      </c>
      <c r="Y889" t="s">
        <v>11409</v>
      </c>
      <c r="Z889" t="s">
        <v>74</v>
      </c>
      <c r="AA889" t="s">
        <v>74</v>
      </c>
      <c r="AB889" t="s">
        <v>74</v>
      </c>
      <c r="AC889" t="s">
        <v>74</v>
      </c>
      <c r="AD889" t="s">
        <v>74</v>
      </c>
      <c r="AE889" t="s">
        <v>74</v>
      </c>
      <c r="AF889" t="s">
        <v>74</v>
      </c>
      <c r="AG889">
        <v>16</v>
      </c>
      <c r="AH889">
        <v>3</v>
      </c>
      <c r="AI889">
        <v>5</v>
      </c>
      <c r="AJ889">
        <v>0</v>
      </c>
      <c r="AK889">
        <v>1</v>
      </c>
      <c r="AL889" t="s">
        <v>849</v>
      </c>
      <c r="AM889" t="s">
        <v>850</v>
      </c>
      <c r="AN889" t="s">
        <v>851</v>
      </c>
      <c r="AO889" t="s">
        <v>11410</v>
      </c>
      <c r="AP889" t="s">
        <v>74</v>
      </c>
      <c r="AQ889" t="s">
        <v>74</v>
      </c>
      <c r="AR889" t="s">
        <v>11411</v>
      </c>
      <c r="AS889" t="s">
        <v>11412</v>
      </c>
      <c r="AT889" t="s">
        <v>10744</v>
      </c>
      <c r="AU889">
        <v>1999</v>
      </c>
      <c r="AV889">
        <v>78</v>
      </c>
      <c r="AW889">
        <v>2</v>
      </c>
      <c r="AX889" t="s">
        <v>74</v>
      </c>
      <c r="AY889" t="s">
        <v>74</v>
      </c>
      <c r="AZ889" t="s">
        <v>74</v>
      </c>
      <c r="BA889" t="s">
        <v>74</v>
      </c>
      <c r="BB889">
        <v>133</v>
      </c>
      <c r="BC889">
        <v>141</v>
      </c>
      <c r="BD889" t="s">
        <v>74</v>
      </c>
      <c r="BE889" t="s">
        <v>74</v>
      </c>
      <c r="BF889" t="s">
        <v>74</v>
      </c>
      <c r="BG889" t="s">
        <v>74</v>
      </c>
      <c r="BH889" t="s">
        <v>74</v>
      </c>
      <c r="BI889">
        <v>9</v>
      </c>
      <c r="BJ889" t="s">
        <v>142</v>
      </c>
      <c r="BK889" t="s">
        <v>96</v>
      </c>
      <c r="BL889" t="s">
        <v>142</v>
      </c>
      <c r="BM889" t="s">
        <v>11413</v>
      </c>
      <c r="BN889" t="s">
        <v>74</v>
      </c>
      <c r="BO889" t="s">
        <v>74</v>
      </c>
      <c r="BP889" t="s">
        <v>74</v>
      </c>
      <c r="BQ889" t="s">
        <v>74</v>
      </c>
      <c r="BR889" t="s">
        <v>99</v>
      </c>
      <c r="BS889" t="s">
        <v>11414</v>
      </c>
      <c r="BT889" t="str">
        <f>HYPERLINK("https%3A%2F%2Fwww.webofscience.com%2Fwos%2Fwoscc%2Ffull-record%2FWOS:000079737700001","View Full Record in Web of Science")</f>
        <v>View Full Record in Web of Science</v>
      </c>
    </row>
    <row r="890" spans="1:72" x14ac:dyDescent="0.15">
      <c r="A890" t="s">
        <v>72</v>
      </c>
      <c r="B890" t="s">
        <v>11415</v>
      </c>
      <c r="C890" t="s">
        <v>74</v>
      </c>
      <c r="D890" t="s">
        <v>74</v>
      </c>
      <c r="E890" t="s">
        <v>74</v>
      </c>
      <c r="F890" t="s">
        <v>11415</v>
      </c>
      <c r="G890" t="s">
        <v>74</v>
      </c>
      <c r="H890" t="s">
        <v>74</v>
      </c>
      <c r="I890" t="s">
        <v>11416</v>
      </c>
      <c r="J890" t="s">
        <v>11405</v>
      </c>
      <c r="K890" t="s">
        <v>74</v>
      </c>
      <c r="L890" t="s">
        <v>74</v>
      </c>
      <c r="M890" t="s">
        <v>845</v>
      </c>
      <c r="N890" t="s">
        <v>78</v>
      </c>
      <c r="O890" t="s">
        <v>74</v>
      </c>
      <c r="P890" t="s">
        <v>74</v>
      </c>
      <c r="Q890" t="s">
        <v>74</v>
      </c>
      <c r="R890" t="s">
        <v>74</v>
      </c>
      <c r="S890" t="s">
        <v>74</v>
      </c>
      <c r="T890" t="s">
        <v>74</v>
      </c>
      <c r="U890" t="s">
        <v>74</v>
      </c>
      <c r="V890" t="s">
        <v>11417</v>
      </c>
      <c r="W890" t="s">
        <v>11407</v>
      </c>
      <c r="X890" t="s">
        <v>11408</v>
      </c>
      <c r="Y890" t="s">
        <v>11418</v>
      </c>
      <c r="Z890" t="s">
        <v>74</v>
      </c>
      <c r="AA890" t="s">
        <v>11419</v>
      </c>
      <c r="AB890" t="s">
        <v>74</v>
      </c>
      <c r="AC890" t="s">
        <v>74</v>
      </c>
      <c r="AD890" t="s">
        <v>74</v>
      </c>
      <c r="AE890" t="s">
        <v>74</v>
      </c>
      <c r="AF890" t="s">
        <v>74</v>
      </c>
      <c r="AG890">
        <v>15</v>
      </c>
      <c r="AH890">
        <v>3</v>
      </c>
      <c r="AI890">
        <v>3</v>
      </c>
      <c r="AJ890">
        <v>0</v>
      </c>
      <c r="AK890">
        <v>0</v>
      </c>
      <c r="AL890" t="s">
        <v>849</v>
      </c>
      <c r="AM890" t="s">
        <v>850</v>
      </c>
      <c r="AN890" t="s">
        <v>851</v>
      </c>
      <c r="AO890" t="s">
        <v>11410</v>
      </c>
      <c r="AP890" t="s">
        <v>74</v>
      </c>
      <c r="AQ890" t="s">
        <v>74</v>
      </c>
      <c r="AR890" t="s">
        <v>11411</v>
      </c>
      <c r="AS890" t="s">
        <v>11412</v>
      </c>
      <c r="AT890" t="s">
        <v>10744</v>
      </c>
      <c r="AU890">
        <v>1999</v>
      </c>
      <c r="AV890">
        <v>78</v>
      </c>
      <c r="AW890">
        <v>2</v>
      </c>
      <c r="AX890" t="s">
        <v>74</v>
      </c>
      <c r="AY890" t="s">
        <v>74</v>
      </c>
      <c r="AZ890" t="s">
        <v>74</v>
      </c>
      <c r="BA890" t="s">
        <v>74</v>
      </c>
      <c r="BB890">
        <v>164</v>
      </c>
      <c r="BC890">
        <v>169</v>
      </c>
      <c r="BD890" t="s">
        <v>74</v>
      </c>
      <c r="BE890" t="s">
        <v>74</v>
      </c>
      <c r="BF890" t="s">
        <v>74</v>
      </c>
      <c r="BG890" t="s">
        <v>74</v>
      </c>
      <c r="BH890" t="s">
        <v>74</v>
      </c>
      <c r="BI890">
        <v>6</v>
      </c>
      <c r="BJ890" t="s">
        <v>142</v>
      </c>
      <c r="BK890" t="s">
        <v>96</v>
      </c>
      <c r="BL890" t="s">
        <v>142</v>
      </c>
      <c r="BM890" t="s">
        <v>11413</v>
      </c>
      <c r="BN890" t="s">
        <v>74</v>
      </c>
      <c r="BO890" t="s">
        <v>74</v>
      </c>
      <c r="BP890" t="s">
        <v>74</v>
      </c>
      <c r="BQ890" t="s">
        <v>74</v>
      </c>
      <c r="BR890" t="s">
        <v>99</v>
      </c>
      <c r="BS890" t="s">
        <v>11420</v>
      </c>
      <c r="BT890" t="str">
        <f>HYPERLINK("https%3A%2F%2Fwww.webofscience.com%2Fwos%2Fwoscc%2Ffull-record%2FWOS:000079737700005","View Full Record in Web of Science")</f>
        <v>View Full Record in Web of Science</v>
      </c>
    </row>
    <row r="891" spans="1:72" x14ac:dyDescent="0.15">
      <c r="A891" t="s">
        <v>72</v>
      </c>
      <c r="B891" t="s">
        <v>11421</v>
      </c>
      <c r="C891" t="s">
        <v>74</v>
      </c>
      <c r="D891" t="s">
        <v>74</v>
      </c>
      <c r="E891" t="s">
        <v>74</v>
      </c>
      <c r="F891" t="s">
        <v>11421</v>
      </c>
      <c r="G891" t="s">
        <v>74</v>
      </c>
      <c r="H891" t="s">
        <v>74</v>
      </c>
      <c r="I891" t="s">
        <v>11422</v>
      </c>
      <c r="J891" t="s">
        <v>9451</v>
      </c>
      <c r="K891" t="s">
        <v>74</v>
      </c>
      <c r="L891" t="s">
        <v>74</v>
      </c>
      <c r="M891" t="s">
        <v>77</v>
      </c>
      <c r="N891" t="s">
        <v>78</v>
      </c>
      <c r="O891" t="s">
        <v>74</v>
      </c>
      <c r="P891" t="s">
        <v>74</v>
      </c>
      <c r="Q891" t="s">
        <v>74</v>
      </c>
      <c r="R891" t="s">
        <v>74</v>
      </c>
      <c r="S891" t="s">
        <v>74</v>
      </c>
      <c r="T891" t="s">
        <v>11423</v>
      </c>
      <c r="U891" t="s">
        <v>11424</v>
      </c>
      <c r="V891" t="s">
        <v>11425</v>
      </c>
      <c r="W891" t="s">
        <v>11426</v>
      </c>
      <c r="X891" t="s">
        <v>11427</v>
      </c>
      <c r="Y891" t="s">
        <v>11428</v>
      </c>
      <c r="Z891" t="s">
        <v>74</v>
      </c>
      <c r="AA891" t="s">
        <v>11429</v>
      </c>
      <c r="AB891" t="s">
        <v>74</v>
      </c>
      <c r="AC891" t="s">
        <v>74</v>
      </c>
      <c r="AD891" t="s">
        <v>74</v>
      </c>
      <c r="AE891" t="s">
        <v>74</v>
      </c>
      <c r="AF891" t="s">
        <v>74</v>
      </c>
      <c r="AG891">
        <v>81</v>
      </c>
      <c r="AH891">
        <v>17</v>
      </c>
      <c r="AI891">
        <v>18</v>
      </c>
      <c r="AJ891">
        <v>1</v>
      </c>
      <c r="AK891">
        <v>4</v>
      </c>
      <c r="AL891" t="s">
        <v>210</v>
      </c>
      <c r="AM891" t="s">
        <v>211</v>
      </c>
      <c r="AN891" t="s">
        <v>212</v>
      </c>
      <c r="AO891" t="s">
        <v>9461</v>
      </c>
      <c r="AP891" t="s">
        <v>74</v>
      </c>
      <c r="AQ891" t="s">
        <v>74</v>
      </c>
      <c r="AR891" t="s">
        <v>9463</v>
      </c>
      <c r="AS891" t="s">
        <v>9464</v>
      </c>
      <c r="AT891" t="s">
        <v>11430</v>
      </c>
      <c r="AU891">
        <v>1999</v>
      </c>
      <c r="AV891">
        <v>93</v>
      </c>
      <c r="AW891" t="s">
        <v>6240</v>
      </c>
      <c r="AX891" t="s">
        <v>74</v>
      </c>
      <c r="AY891" t="s">
        <v>74</v>
      </c>
      <c r="AZ891" t="s">
        <v>74</v>
      </c>
      <c r="BA891" t="s">
        <v>74</v>
      </c>
      <c r="BB891">
        <v>235</v>
      </c>
      <c r="BC891">
        <v>258</v>
      </c>
      <c r="BD891" t="s">
        <v>74</v>
      </c>
      <c r="BE891" t="s">
        <v>11431</v>
      </c>
      <c r="BF891" t="str">
        <f>HYPERLINK("http://dx.doi.org/10.1016/S0301-9268(98)00091-6","http://dx.doi.org/10.1016/S0301-9268(98)00091-6")</f>
        <v>http://dx.doi.org/10.1016/S0301-9268(98)00091-6</v>
      </c>
      <c r="BG891" t="s">
        <v>74</v>
      </c>
      <c r="BH891" t="s">
        <v>74</v>
      </c>
      <c r="BI891">
        <v>24</v>
      </c>
      <c r="BJ891" t="s">
        <v>387</v>
      </c>
      <c r="BK891" t="s">
        <v>96</v>
      </c>
      <c r="BL891" t="s">
        <v>388</v>
      </c>
      <c r="BM891" t="s">
        <v>11432</v>
      </c>
      <c r="BN891" t="s">
        <v>74</v>
      </c>
      <c r="BO891" t="s">
        <v>74</v>
      </c>
      <c r="BP891" t="s">
        <v>74</v>
      </c>
      <c r="BQ891" t="s">
        <v>74</v>
      </c>
      <c r="BR891" t="s">
        <v>99</v>
      </c>
      <c r="BS891" t="s">
        <v>11433</v>
      </c>
      <c r="BT891" t="str">
        <f>HYPERLINK("https%3A%2F%2Fwww.webofscience.com%2Fwos%2Fwoscc%2Ffull-record%2FWOS:000078124800006","View Full Record in Web of Science")</f>
        <v>View Full Record in Web of Science</v>
      </c>
    </row>
    <row r="892" spans="1:72" x14ac:dyDescent="0.15">
      <c r="A892" t="s">
        <v>72</v>
      </c>
      <c r="B892" t="s">
        <v>11434</v>
      </c>
      <c r="C892" t="s">
        <v>74</v>
      </c>
      <c r="D892" t="s">
        <v>74</v>
      </c>
      <c r="E892" t="s">
        <v>74</v>
      </c>
      <c r="F892" t="s">
        <v>11434</v>
      </c>
      <c r="G892" t="s">
        <v>74</v>
      </c>
      <c r="H892" t="s">
        <v>74</v>
      </c>
      <c r="I892" t="s">
        <v>11435</v>
      </c>
      <c r="J892" t="s">
        <v>221</v>
      </c>
      <c r="K892" t="s">
        <v>74</v>
      </c>
      <c r="L892" t="s">
        <v>74</v>
      </c>
      <c r="M892" t="s">
        <v>77</v>
      </c>
      <c r="N892" t="s">
        <v>78</v>
      </c>
      <c r="O892" t="s">
        <v>74</v>
      </c>
      <c r="P892" t="s">
        <v>74</v>
      </c>
      <c r="Q892" t="s">
        <v>74</v>
      </c>
      <c r="R892" t="s">
        <v>74</v>
      </c>
      <c r="S892" t="s">
        <v>74</v>
      </c>
      <c r="T892" t="s">
        <v>74</v>
      </c>
      <c r="U892" t="s">
        <v>11436</v>
      </c>
      <c r="V892" t="s">
        <v>11437</v>
      </c>
      <c r="W892" t="s">
        <v>11438</v>
      </c>
      <c r="X892" t="s">
        <v>11439</v>
      </c>
      <c r="Y892" t="s">
        <v>9596</v>
      </c>
      <c r="Z892" t="s">
        <v>11440</v>
      </c>
      <c r="AA892" t="s">
        <v>11441</v>
      </c>
      <c r="AB892" t="s">
        <v>11442</v>
      </c>
      <c r="AC892" t="s">
        <v>74</v>
      </c>
      <c r="AD892" t="s">
        <v>74</v>
      </c>
      <c r="AE892" t="s">
        <v>74</v>
      </c>
      <c r="AF892" t="s">
        <v>74</v>
      </c>
      <c r="AG892">
        <v>59</v>
      </c>
      <c r="AH892">
        <v>29</v>
      </c>
      <c r="AI892">
        <v>31</v>
      </c>
      <c r="AJ892">
        <v>1</v>
      </c>
      <c r="AK892">
        <v>7</v>
      </c>
      <c r="AL892" t="s">
        <v>230</v>
      </c>
      <c r="AM892" t="s">
        <v>231</v>
      </c>
      <c r="AN892" t="s">
        <v>232</v>
      </c>
      <c r="AO892" t="s">
        <v>233</v>
      </c>
      <c r="AP892" t="s">
        <v>317</v>
      </c>
      <c r="AQ892" t="s">
        <v>74</v>
      </c>
      <c r="AR892" t="s">
        <v>234</v>
      </c>
      <c r="AS892" t="s">
        <v>235</v>
      </c>
      <c r="AT892" t="s">
        <v>11443</v>
      </c>
      <c r="AU892">
        <v>1999</v>
      </c>
      <c r="AV892">
        <v>104</v>
      </c>
      <c r="AW892" t="s">
        <v>11444</v>
      </c>
      <c r="AX892" t="s">
        <v>74</v>
      </c>
      <c r="AY892" t="s">
        <v>74</v>
      </c>
      <c r="AZ892" t="s">
        <v>74</v>
      </c>
      <c r="BA892" t="s">
        <v>74</v>
      </c>
      <c r="BB892">
        <v>1991</v>
      </c>
      <c r="BC892">
        <v>2007</v>
      </c>
      <c r="BD892" t="s">
        <v>74</v>
      </c>
      <c r="BE892" t="s">
        <v>11445</v>
      </c>
      <c r="BF892" t="str">
        <f>HYPERLINK("http://dx.doi.org/10.1029/98JD02719","http://dx.doi.org/10.1029/98JD02719")</f>
        <v>http://dx.doi.org/10.1029/98JD02719</v>
      </c>
      <c r="BG892" t="s">
        <v>74</v>
      </c>
      <c r="BH892" t="s">
        <v>74</v>
      </c>
      <c r="BI892">
        <v>17</v>
      </c>
      <c r="BJ892" t="s">
        <v>95</v>
      </c>
      <c r="BK892" t="s">
        <v>96</v>
      </c>
      <c r="BL892" t="s">
        <v>95</v>
      </c>
      <c r="BM892" t="s">
        <v>11446</v>
      </c>
      <c r="BN892" t="s">
        <v>74</v>
      </c>
      <c r="BO892" t="s">
        <v>250</v>
      </c>
      <c r="BP892" t="s">
        <v>74</v>
      </c>
      <c r="BQ892" t="s">
        <v>74</v>
      </c>
      <c r="BR892" t="s">
        <v>99</v>
      </c>
      <c r="BS892" t="s">
        <v>11447</v>
      </c>
      <c r="BT892" t="str">
        <f>HYPERLINK("https%3A%2F%2Fwww.webofscience.com%2Fwos%2Fwoscc%2Ffull-record%2FWOS:000078242200004","View Full Record in Web of Science")</f>
        <v>View Full Record in Web of Science</v>
      </c>
    </row>
    <row r="893" spans="1:72" x14ac:dyDescent="0.15">
      <c r="A893" t="s">
        <v>72</v>
      </c>
      <c r="B893" t="s">
        <v>11448</v>
      </c>
      <c r="C893" t="s">
        <v>74</v>
      </c>
      <c r="D893" t="s">
        <v>74</v>
      </c>
      <c r="E893" t="s">
        <v>74</v>
      </c>
      <c r="F893" t="s">
        <v>11448</v>
      </c>
      <c r="G893" t="s">
        <v>74</v>
      </c>
      <c r="H893" t="s">
        <v>74</v>
      </c>
      <c r="I893" t="s">
        <v>11449</v>
      </c>
      <c r="J893" t="s">
        <v>11450</v>
      </c>
      <c r="K893" t="s">
        <v>74</v>
      </c>
      <c r="L893" t="s">
        <v>74</v>
      </c>
      <c r="M893" t="s">
        <v>77</v>
      </c>
      <c r="N893" t="s">
        <v>78</v>
      </c>
      <c r="O893" t="s">
        <v>74</v>
      </c>
      <c r="P893" t="s">
        <v>74</v>
      </c>
      <c r="Q893" t="s">
        <v>74</v>
      </c>
      <c r="R893" t="s">
        <v>74</v>
      </c>
      <c r="S893" t="s">
        <v>74</v>
      </c>
      <c r="T893" t="s">
        <v>74</v>
      </c>
      <c r="U893" t="s">
        <v>11451</v>
      </c>
      <c r="V893" t="s">
        <v>11452</v>
      </c>
      <c r="W893" t="s">
        <v>271</v>
      </c>
      <c r="X893" t="s">
        <v>272</v>
      </c>
      <c r="Y893" t="s">
        <v>11453</v>
      </c>
      <c r="Z893" t="s">
        <v>11454</v>
      </c>
      <c r="AA893" t="s">
        <v>11455</v>
      </c>
      <c r="AB893" t="s">
        <v>11456</v>
      </c>
      <c r="AC893" t="s">
        <v>74</v>
      </c>
      <c r="AD893" t="s">
        <v>74</v>
      </c>
      <c r="AE893" t="s">
        <v>74</v>
      </c>
      <c r="AF893" t="s">
        <v>74</v>
      </c>
      <c r="AG893">
        <v>18</v>
      </c>
      <c r="AH893">
        <v>21</v>
      </c>
      <c r="AI893">
        <v>22</v>
      </c>
      <c r="AJ893">
        <v>0</v>
      </c>
      <c r="AK893">
        <v>6</v>
      </c>
      <c r="AL893" t="s">
        <v>275</v>
      </c>
      <c r="AM893" t="s">
        <v>276</v>
      </c>
      <c r="AN893" t="s">
        <v>277</v>
      </c>
      <c r="AO893" t="s">
        <v>11457</v>
      </c>
      <c r="AP893" t="s">
        <v>74</v>
      </c>
      <c r="AQ893" t="s">
        <v>74</v>
      </c>
      <c r="AR893" t="s">
        <v>11450</v>
      </c>
      <c r="AS893" t="s">
        <v>11458</v>
      </c>
      <c r="AT893" t="s">
        <v>11459</v>
      </c>
      <c r="AU893">
        <v>1999</v>
      </c>
      <c r="AV893">
        <v>55</v>
      </c>
      <c r="AW893">
        <v>4</v>
      </c>
      <c r="AX893" t="s">
        <v>74</v>
      </c>
      <c r="AY893" t="s">
        <v>74</v>
      </c>
      <c r="AZ893" t="s">
        <v>74</v>
      </c>
      <c r="BA893" t="s">
        <v>74</v>
      </c>
      <c r="BB893">
        <v>1143</v>
      </c>
      <c r="BC893">
        <v>1152</v>
      </c>
      <c r="BD893" t="s">
        <v>74</v>
      </c>
      <c r="BE893" t="s">
        <v>11460</v>
      </c>
      <c r="BF893" t="str">
        <f>HYPERLINK("http://dx.doi.org/10.1016/S0040-4020(98)01092-8","http://dx.doi.org/10.1016/S0040-4020(98)01092-8")</f>
        <v>http://dx.doi.org/10.1016/S0040-4020(98)01092-8</v>
      </c>
      <c r="BG893" t="s">
        <v>74</v>
      </c>
      <c r="BH893" t="s">
        <v>74</v>
      </c>
      <c r="BI893">
        <v>10</v>
      </c>
      <c r="BJ893" t="s">
        <v>283</v>
      </c>
      <c r="BK893" t="s">
        <v>284</v>
      </c>
      <c r="BL893" t="s">
        <v>285</v>
      </c>
      <c r="BM893" t="s">
        <v>11461</v>
      </c>
      <c r="BN893" t="s">
        <v>74</v>
      </c>
      <c r="BO893" t="s">
        <v>74</v>
      </c>
      <c r="BP893" t="s">
        <v>74</v>
      </c>
      <c r="BQ893" t="s">
        <v>74</v>
      </c>
      <c r="BR893" t="s">
        <v>99</v>
      </c>
      <c r="BS893" t="s">
        <v>11462</v>
      </c>
      <c r="BT893" t="str">
        <f>HYPERLINK("https%3A%2F%2Fwww.webofscience.com%2Fwos%2Fwoscc%2Ffull-record%2FWOS:000078152400022","View Full Record in Web of Science")</f>
        <v>View Full Record in Web of Science</v>
      </c>
    </row>
    <row r="894" spans="1:72" x14ac:dyDescent="0.15">
      <c r="A894" t="s">
        <v>72</v>
      </c>
      <c r="B894" t="s">
        <v>11463</v>
      </c>
      <c r="C894" t="s">
        <v>74</v>
      </c>
      <c r="D894" t="s">
        <v>74</v>
      </c>
      <c r="E894" t="s">
        <v>74</v>
      </c>
      <c r="F894" t="s">
        <v>11463</v>
      </c>
      <c r="G894" t="s">
        <v>74</v>
      </c>
      <c r="H894" t="s">
        <v>74</v>
      </c>
      <c r="I894" t="s">
        <v>11464</v>
      </c>
      <c r="J894" t="s">
        <v>359</v>
      </c>
      <c r="K894" t="s">
        <v>74</v>
      </c>
      <c r="L894" t="s">
        <v>74</v>
      </c>
      <c r="M894" t="s">
        <v>77</v>
      </c>
      <c r="N894" t="s">
        <v>78</v>
      </c>
      <c r="O894" t="s">
        <v>74</v>
      </c>
      <c r="P894" t="s">
        <v>74</v>
      </c>
      <c r="Q894" t="s">
        <v>74</v>
      </c>
      <c r="R894" t="s">
        <v>74</v>
      </c>
      <c r="S894" t="s">
        <v>74</v>
      </c>
      <c r="T894" t="s">
        <v>74</v>
      </c>
      <c r="U894" t="s">
        <v>11465</v>
      </c>
      <c r="V894" t="s">
        <v>11466</v>
      </c>
      <c r="W894" t="s">
        <v>11467</v>
      </c>
      <c r="X894" t="s">
        <v>11468</v>
      </c>
      <c r="Y894" t="s">
        <v>11469</v>
      </c>
      <c r="Z894" t="s">
        <v>10707</v>
      </c>
      <c r="AA894" t="s">
        <v>74</v>
      </c>
      <c r="AB894" t="s">
        <v>74</v>
      </c>
      <c r="AC894" t="s">
        <v>74</v>
      </c>
      <c r="AD894" t="s">
        <v>74</v>
      </c>
      <c r="AE894" t="s">
        <v>74</v>
      </c>
      <c r="AF894" t="s">
        <v>74</v>
      </c>
      <c r="AG894">
        <v>54</v>
      </c>
      <c r="AH894">
        <v>15</v>
      </c>
      <c r="AI894">
        <v>16</v>
      </c>
      <c r="AJ894">
        <v>0</v>
      </c>
      <c r="AK894">
        <v>3</v>
      </c>
      <c r="AL894" t="s">
        <v>365</v>
      </c>
      <c r="AM894" t="s">
        <v>231</v>
      </c>
      <c r="AN894" t="s">
        <v>366</v>
      </c>
      <c r="AO894" t="s">
        <v>367</v>
      </c>
      <c r="AP894" t="s">
        <v>74</v>
      </c>
      <c r="AQ894" t="s">
        <v>74</v>
      </c>
      <c r="AR894" t="s">
        <v>368</v>
      </c>
      <c r="AS894" t="s">
        <v>369</v>
      </c>
      <c r="AT894" t="s">
        <v>11470</v>
      </c>
      <c r="AU894">
        <v>1999</v>
      </c>
      <c r="AV894">
        <v>103</v>
      </c>
      <c r="AW894">
        <v>3</v>
      </c>
      <c r="AX894" t="s">
        <v>74</v>
      </c>
      <c r="AY894" t="s">
        <v>74</v>
      </c>
      <c r="AZ894" t="s">
        <v>74</v>
      </c>
      <c r="BA894" t="s">
        <v>74</v>
      </c>
      <c r="BB894">
        <v>384</v>
      </c>
      <c r="BC894">
        <v>395</v>
      </c>
      <c r="BD894" t="s">
        <v>74</v>
      </c>
      <c r="BE894" t="s">
        <v>11471</v>
      </c>
      <c r="BF894" t="str">
        <f>HYPERLINK("http://dx.doi.org/10.1021/jp9833799","http://dx.doi.org/10.1021/jp9833799")</f>
        <v>http://dx.doi.org/10.1021/jp9833799</v>
      </c>
      <c r="BG894" t="s">
        <v>74</v>
      </c>
      <c r="BH894" t="s">
        <v>74</v>
      </c>
      <c r="BI894">
        <v>12</v>
      </c>
      <c r="BJ894" t="s">
        <v>372</v>
      </c>
      <c r="BK894" t="s">
        <v>96</v>
      </c>
      <c r="BL894" t="s">
        <v>373</v>
      </c>
      <c r="BM894" t="s">
        <v>11472</v>
      </c>
      <c r="BN894" t="s">
        <v>74</v>
      </c>
      <c r="BO894" t="s">
        <v>74</v>
      </c>
      <c r="BP894" t="s">
        <v>74</v>
      </c>
      <c r="BQ894" t="s">
        <v>74</v>
      </c>
      <c r="BR894" t="s">
        <v>99</v>
      </c>
      <c r="BS894" t="s">
        <v>11473</v>
      </c>
      <c r="BT894" t="str">
        <f>HYPERLINK("https%3A%2F%2Fwww.webofscience.com%2Fwos%2Fwoscc%2Ffull-record%2FWOS:000079042400009","View Full Record in Web of Science")</f>
        <v>View Full Record in Web of Science</v>
      </c>
    </row>
    <row r="895" spans="1:72" x14ac:dyDescent="0.15">
      <c r="A895" t="s">
        <v>72</v>
      </c>
      <c r="B895" t="s">
        <v>11474</v>
      </c>
      <c r="C895" t="s">
        <v>74</v>
      </c>
      <c r="D895" t="s">
        <v>74</v>
      </c>
      <c r="E895" t="s">
        <v>74</v>
      </c>
      <c r="F895" t="s">
        <v>11474</v>
      </c>
      <c r="G895" t="s">
        <v>74</v>
      </c>
      <c r="H895" t="s">
        <v>74</v>
      </c>
      <c r="I895" t="s">
        <v>11475</v>
      </c>
      <c r="J895" t="s">
        <v>11476</v>
      </c>
      <c r="K895" t="s">
        <v>74</v>
      </c>
      <c r="L895" t="s">
        <v>74</v>
      </c>
      <c r="M895" t="s">
        <v>77</v>
      </c>
      <c r="N895" t="s">
        <v>78</v>
      </c>
      <c r="O895" t="s">
        <v>74</v>
      </c>
      <c r="P895" t="s">
        <v>74</v>
      </c>
      <c r="Q895" t="s">
        <v>74</v>
      </c>
      <c r="R895" t="s">
        <v>74</v>
      </c>
      <c r="S895" t="s">
        <v>74</v>
      </c>
      <c r="T895" t="s">
        <v>74</v>
      </c>
      <c r="U895" t="s">
        <v>74</v>
      </c>
      <c r="V895" t="s">
        <v>11477</v>
      </c>
      <c r="W895" t="s">
        <v>151</v>
      </c>
      <c r="X895" t="s">
        <v>131</v>
      </c>
      <c r="Y895" t="s">
        <v>11165</v>
      </c>
      <c r="Z895" t="s">
        <v>11478</v>
      </c>
      <c r="AA895" t="s">
        <v>74</v>
      </c>
      <c r="AB895" t="s">
        <v>74</v>
      </c>
      <c r="AC895" t="s">
        <v>74</v>
      </c>
      <c r="AD895" t="s">
        <v>74</v>
      </c>
      <c r="AE895" t="s">
        <v>74</v>
      </c>
      <c r="AF895" t="s">
        <v>74</v>
      </c>
      <c r="AG895">
        <v>10</v>
      </c>
      <c r="AH895">
        <v>0</v>
      </c>
      <c r="AI895">
        <v>0</v>
      </c>
      <c r="AJ895">
        <v>0</v>
      </c>
      <c r="AK895">
        <v>0</v>
      </c>
      <c r="AL895" t="s">
        <v>11479</v>
      </c>
      <c r="AM895" t="s">
        <v>231</v>
      </c>
      <c r="AN895" t="s">
        <v>11480</v>
      </c>
      <c r="AO895" t="s">
        <v>11481</v>
      </c>
      <c r="AP895" t="s">
        <v>11482</v>
      </c>
      <c r="AQ895" t="s">
        <v>74</v>
      </c>
      <c r="AR895" t="s">
        <v>11483</v>
      </c>
      <c r="AS895" t="s">
        <v>11484</v>
      </c>
      <c r="AT895" t="s">
        <v>11485</v>
      </c>
      <c r="AU895">
        <v>1999</v>
      </c>
      <c r="AV895">
        <v>38</v>
      </c>
      <c r="AW895">
        <v>3</v>
      </c>
      <c r="AX895" t="s">
        <v>74</v>
      </c>
      <c r="AY895" t="s">
        <v>74</v>
      </c>
      <c r="AZ895" t="s">
        <v>74</v>
      </c>
      <c r="BA895" t="s">
        <v>74</v>
      </c>
      <c r="BB895">
        <v>441</v>
      </c>
      <c r="BC895">
        <v>450</v>
      </c>
      <c r="BD895" t="s">
        <v>74</v>
      </c>
      <c r="BE895" t="s">
        <v>11486</v>
      </c>
      <c r="BF895" t="str">
        <f>HYPERLINK("http://dx.doi.org/10.1364/AO.38.000441","http://dx.doi.org/10.1364/AO.38.000441")</f>
        <v>http://dx.doi.org/10.1364/AO.38.000441</v>
      </c>
      <c r="BG895" t="s">
        <v>74</v>
      </c>
      <c r="BH895" t="s">
        <v>74</v>
      </c>
      <c r="BI895">
        <v>10</v>
      </c>
      <c r="BJ895" t="s">
        <v>11487</v>
      </c>
      <c r="BK895" t="s">
        <v>96</v>
      </c>
      <c r="BL895" t="s">
        <v>11487</v>
      </c>
      <c r="BM895" t="s">
        <v>11488</v>
      </c>
      <c r="BN895">
        <v>18305632</v>
      </c>
      <c r="BO895" t="s">
        <v>74</v>
      </c>
      <c r="BP895" t="s">
        <v>74</v>
      </c>
      <c r="BQ895" t="s">
        <v>74</v>
      </c>
      <c r="BR895" t="s">
        <v>99</v>
      </c>
      <c r="BS895" t="s">
        <v>11489</v>
      </c>
      <c r="BT895" t="str">
        <f>HYPERLINK("https%3A%2F%2Fwww.webofscience.com%2Fwos%2Fwoscc%2Ffull-record%2FWOS:000078243000004","View Full Record in Web of Science")</f>
        <v>View Full Record in Web of Science</v>
      </c>
    </row>
    <row r="896" spans="1:72" x14ac:dyDescent="0.15">
      <c r="A896" t="s">
        <v>72</v>
      </c>
      <c r="B896" t="s">
        <v>11490</v>
      </c>
      <c r="C896" t="s">
        <v>74</v>
      </c>
      <c r="D896" t="s">
        <v>74</v>
      </c>
      <c r="E896" t="s">
        <v>74</v>
      </c>
      <c r="F896" t="s">
        <v>11490</v>
      </c>
      <c r="G896" t="s">
        <v>74</v>
      </c>
      <c r="H896" t="s">
        <v>74</v>
      </c>
      <c r="I896" t="s">
        <v>11491</v>
      </c>
      <c r="J896" t="s">
        <v>1639</v>
      </c>
      <c r="K896" t="s">
        <v>74</v>
      </c>
      <c r="L896" t="s">
        <v>74</v>
      </c>
      <c r="M896" t="s">
        <v>77</v>
      </c>
      <c r="N896" t="s">
        <v>123</v>
      </c>
      <c r="O896" t="s">
        <v>11492</v>
      </c>
      <c r="P896" t="s">
        <v>11493</v>
      </c>
      <c r="Q896" t="s">
        <v>11494</v>
      </c>
      <c r="R896" t="s">
        <v>74</v>
      </c>
      <c r="S896" t="s">
        <v>11495</v>
      </c>
      <c r="T896" t="s">
        <v>74</v>
      </c>
      <c r="U896" t="s">
        <v>11496</v>
      </c>
      <c r="V896" t="s">
        <v>11497</v>
      </c>
      <c r="W896" t="s">
        <v>11498</v>
      </c>
      <c r="X896" t="s">
        <v>11499</v>
      </c>
      <c r="Y896" t="s">
        <v>11500</v>
      </c>
      <c r="Z896" t="s">
        <v>74</v>
      </c>
      <c r="AA896" t="s">
        <v>11501</v>
      </c>
      <c r="AB896" t="s">
        <v>11502</v>
      </c>
      <c r="AC896" t="s">
        <v>74</v>
      </c>
      <c r="AD896" t="s">
        <v>74</v>
      </c>
      <c r="AE896" t="s">
        <v>74</v>
      </c>
      <c r="AF896" t="s">
        <v>74</v>
      </c>
      <c r="AG896">
        <v>38</v>
      </c>
      <c r="AH896">
        <v>7</v>
      </c>
      <c r="AI896">
        <v>7</v>
      </c>
      <c r="AJ896">
        <v>1</v>
      </c>
      <c r="AK896">
        <v>11</v>
      </c>
      <c r="AL896" t="s">
        <v>1645</v>
      </c>
      <c r="AM896" t="s">
        <v>1646</v>
      </c>
      <c r="AN896" t="s">
        <v>1647</v>
      </c>
      <c r="AO896" t="s">
        <v>1648</v>
      </c>
      <c r="AP896" t="s">
        <v>1649</v>
      </c>
      <c r="AQ896" t="s">
        <v>74</v>
      </c>
      <c r="AR896" t="s">
        <v>1650</v>
      </c>
      <c r="AS896" t="s">
        <v>1651</v>
      </c>
      <c r="AT896" t="s">
        <v>11485</v>
      </c>
      <c r="AU896">
        <v>1999</v>
      </c>
      <c r="AV896">
        <v>20</v>
      </c>
      <c r="AW896">
        <v>2</v>
      </c>
      <c r="AX896" t="s">
        <v>74</v>
      </c>
      <c r="AY896" t="s">
        <v>74</v>
      </c>
      <c r="AZ896" t="s">
        <v>74</v>
      </c>
      <c r="BA896" t="s">
        <v>74</v>
      </c>
      <c r="BB896">
        <v>241</v>
      </c>
      <c r="BC896">
        <v>258</v>
      </c>
      <c r="BD896" t="s">
        <v>74</v>
      </c>
      <c r="BE896" t="s">
        <v>11503</v>
      </c>
      <c r="BF896" t="str">
        <f>HYPERLINK("http://dx.doi.org/10.1080/014311699213424","http://dx.doi.org/10.1080/014311699213424")</f>
        <v>http://dx.doi.org/10.1080/014311699213424</v>
      </c>
      <c r="BG896" t="s">
        <v>74</v>
      </c>
      <c r="BH896" t="s">
        <v>74</v>
      </c>
      <c r="BI896">
        <v>18</v>
      </c>
      <c r="BJ896" t="s">
        <v>1654</v>
      </c>
      <c r="BK896" t="s">
        <v>156</v>
      </c>
      <c r="BL896" t="s">
        <v>1654</v>
      </c>
      <c r="BM896" t="s">
        <v>11504</v>
      </c>
      <c r="BN896" t="s">
        <v>74</v>
      </c>
      <c r="BO896" t="s">
        <v>74</v>
      </c>
      <c r="BP896" t="s">
        <v>74</v>
      </c>
      <c r="BQ896" t="s">
        <v>74</v>
      </c>
      <c r="BR896" t="s">
        <v>99</v>
      </c>
      <c r="BS896" t="s">
        <v>11505</v>
      </c>
      <c r="BT896" t="str">
        <f>HYPERLINK("https%3A%2F%2Fwww.webofscience.com%2Fwos%2Fwoscc%2Ffull-record%2FWOS:000078661900003","View Full Record in Web of Science")</f>
        <v>View Full Record in Web of Science</v>
      </c>
    </row>
    <row r="897" spans="1:72" x14ac:dyDescent="0.15">
      <c r="A897" t="s">
        <v>72</v>
      </c>
      <c r="B897" t="s">
        <v>11506</v>
      </c>
      <c r="C897" t="s">
        <v>74</v>
      </c>
      <c r="D897" t="s">
        <v>74</v>
      </c>
      <c r="E897" t="s">
        <v>74</v>
      </c>
      <c r="F897" t="s">
        <v>11506</v>
      </c>
      <c r="G897" t="s">
        <v>74</v>
      </c>
      <c r="H897" t="s">
        <v>74</v>
      </c>
      <c r="I897" t="s">
        <v>11507</v>
      </c>
      <c r="J897" t="s">
        <v>1639</v>
      </c>
      <c r="K897" t="s">
        <v>74</v>
      </c>
      <c r="L897" t="s">
        <v>74</v>
      </c>
      <c r="M897" t="s">
        <v>77</v>
      </c>
      <c r="N897" t="s">
        <v>123</v>
      </c>
      <c r="O897" t="s">
        <v>11492</v>
      </c>
      <c r="P897" t="s">
        <v>11493</v>
      </c>
      <c r="Q897" t="s">
        <v>11494</v>
      </c>
      <c r="R897" t="s">
        <v>74</v>
      </c>
      <c r="S897" t="s">
        <v>11495</v>
      </c>
      <c r="T897" t="s">
        <v>74</v>
      </c>
      <c r="U897" t="s">
        <v>11508</v>
      </c>
      <c r="V897" t="s">
        <v>11509</v>
      </c>
      <c r="W897" t="s">
        <v>11510</v>
      </c>
      <c r="X897" t="s">
        <v>11499</v>
      </c>
      <c r="Y897" t="s">
        <v>11500</v>
      </c>
      <c r="Z897" t="s">
        <v>74</v>
      </c>
      <c r="AA897" t="s">
        <v>11501</v>
      </c>
      <c r="AB897" t="s">
        <v>11502</v>
      </c>
      <c r="AC897" t="s">
        <v>74</v>
      </c>
      <c r="AD897" t="s">
        <v>74</v>
      </c>
      <c r="AE897" t="s">
        <v>74</v>
      </c>
      <c r="AF897" t="s">
        <v>74</v>
      </c>
      <c r="AG897">
        <v>40</v>
      </c>
      <c r="AH897">
        <v>14</v>
      </c>
      <c r="AI897">
        <v>17</v>
      </c>
      <c r="AJ897">
        <v>0</v>
      </c>
      <c r="AK897">
        <v>6</v>
      </c>
      <c r="AL897" t="s">
        <v>1645</v>
      </c>
      <c r="AM897" t="s">
        <v>1646</v>
      </c>
      <c r="AN897" t="s">
        <v>1647</v>
      </c>
      <c r="AO897" t="s">
        <v>1648</v>
      </c>
      <c r="AP897" t="s">
        <v>1649</v>
      </c>
      <c r="AQ897" t="s">
        <v>74</v>
      </c>
      <c r="AR897" t="s">
        <v>1650</v>
      </c>
      <c r="AS897" t="s">
        <v>1651</v>
      </c>
      <c r="AT897" t="s">
        <v>11485</v>
      </c>
      <c r="AU897">
        <v>1999</v>
      </c>
      <c r="AV897">
        <v>20</v>
      </c>
      <c r="AW897">
        <v>2</v>
      </c>
      <c r="AX897" t="s">
        <v>74</v>
      </c>
      <c r="AY897" t="s">
        <v>74</v>
      </c>
      <c r="AZ897" t="s">
        <v>74</v>
      </c>
      <c r="BA897" t="s">
        <v>74</v>
      </c>
      <c r="BB897">
        <v>307</v>
      </c>
      <c r="BC897">
        <v>327</v>
      </c>
      <c r="BD897" t="s">
        <v>74</v>
      </c>
      <c r="BE897" t="s">
        <v>11511</v>
      </c>
      <c r="BF897" t="str">
        <f>HYPERLINK("http://dx.doi.org/10.1080/014311699213460","http://dx.doi.org/10.1080/014311699213460")</f>
        <v>http://dx.doi.org/10.1080/014311699213460</v>
      </c>
      <c r="BG897" t="s">
        <v>74</v>
      </c>
      <c r="BH897" t="s">
        <v>74</v>
      </c>
      <c r="BI897">
        <v>21</v>
      </c>
      <c r="BJ897" t="s">
        <v>1654</v>
      </c>
      <c r="BK897" t="s">
        <v>156</v>
      </c>
      <c r="BL897" t="s">
        <v>1654</v>
      </c>
      <c r="BM897" t="s">
        <v>11504</v>
      </c>
      <c r="BN897" t="s">
        <v>74</v>
      </c>
      <c r="BO897" t="s">
        <v>74</v>
      </c>
      <c r="BP897" t="s">
        <v>74</v>
      </c>
      <c r="BQ897" t="s">
        <v>74</v>
      </c>
      <c r="BR897" t="s">
        <v>99</v>
      </c>
      <c r="BS897" t="s">
        <v>11512</v>
      </c>
      <c r="BT897" t="str">
        <f>HYPERLINK("https%3A%2F%2Fwww.webofscience.com%2Fwos%2Fwoscc%2Ffull-record%2FWOS:000078661900007","View Full Record in Web of Science")</f>
        <v>View Full Record in Web of Science</v>
      </c>
    </row>
    <row r="898" spans="1:72" x14ac:dyDescent="0.15">
      <c r="A898" t="s">
        <v>72</v>
      </c>
      <c r="B898" t="s">
        <v>11513</v>
      </c>
      <c r="C898" t="s">
        <v>74</v>
      </c>
      <c r="D898" t="s">
        <v>74</v>
      </c>
      <c r="E898" t="s">
        <v>74</v>
      </c>
      <c r="F898" t="s">
        <v>11513</v>
      </c>
      <c r="G898" t="s">
        <v>74</v>
      </c>
      <c r="H898" t="s">
        <v>74</v>
      </c>
      <c r="I898" t="s">
        <v>11514</v>
      </c>
      <c r="J898" t="s">
        <v>221</v>
      </c>
      <c r="K898" t="s">
        <v>74</v>
      </c>
      <c r="L898" t="s">
        <v>74</v>
      </c>
      <c r="M898" t="s">
        <v>77</v>
      </c>
      <c r="N898" t="s">
        <v>78</v>
      </c>
      <c r="O898" t="s">
        <v>74</v>
      </c>
      <c r="P898" t="s">
        <v>74</v>
      </c>
      <c r="Q898" t="s">
        <v>74</v>
      </c>
      <c r="R898" t="s">
        <v>74</v>
      </c>
      <c r="S898" t="s">
        <v>74</v>
      </c>
      <c r="T898" t="s">
        <v>74</v>
      </c>
      <c r="U898" t="s">
        <v>11515</v>
      </c>
      <c r="V898" t="s">
        <v>11516</v>
      </c>
      <c r="W898" t="s">
        <v>11517</v>
      </c>
      <c r="X898" t="s">
        <v>11518</v>
      </c>
      <c r="Y898" t="s">
        <v>11519</v>
      </c>
      <c r="Z898" t="s">
        <v>11520</v>
      </c>
      <c r="AA898" t="s">
        <v>10614</v>
      </c>
      <c r="AB898" t="s">
        <v>74</v>
      </c>
      <c r="AC898" t="s">
        <v>74</v>
      </c>
      <c r="AD898" t="s">
        <v>74</v>
      </c>
      <c r="AE898" t="s">
        <v>74</v>
      </c>
      <c r="AF898" t="s">
        <v>74</v>
      </c>
      <c r="AG898">
        <v>60</v>
      </c>
      <c r="AH898">
        <v>40</v>
      </c>
      <c r="AI898">
        <v>45</v>
      </c>
      <c r="AJ898">
        <v>0</v>
      </c>
      <c r="AK898">
        <v>6</v>
      </c>
      <c r="AL898" t="s">
        <v>230</v>
      </c>
      <c r="AM898" t="s">
        <v>231</v>
      </c>
      <c r="AN898" t="s">
        <v>232</v>
      </c>
      <c r="AO898" t="s">
        <v>233</v>
      </c>
      <c r="AP898" t="s">
        <v>317</v>
      </c>
      <c r="AQ898" t="s">
        <v>74</v>
      </c>
      <c r="AR898" t="s">
        <v>234</v>
      </c>
      <c r="AS898" t="s">
        <v>235</v>
      </c>
      <c r="AT898" t="s">
        <v>11485</v>
      </c>
      <c r="AU898">
        <v>1999</v>
      </c>
      <c r="AV898">
        <v>104</v>
      </c>
      <c r="AW898" t="s">
        <v>11521</v>
      </c>
      <c r="AX898" t="s">
        <v>74</v>
      </c>
      <c r="AY898" t="s">
        <v>74</v>
      </c>
      <c r="AZ898" t="s">
        <v>74</v>
      </c>
      <c r="BA898" t="s">
        <v>74</v>
      </c>
      <c r="BB898">
        <v>1581</v>
      </c>
      <c r="BC898">
        <v>1596</v>
      </c>
      <c r="BD898" t="s">
        <v>74</v>
      </c>
      <c r="BE898" t="s">
        <v>11522</v>
      </c>
      <c r="BF898" t="str">
        <f>HYPERLINK("http://dx.doi.org/10.1029/1998JD100032","http://dx.doi.org/10.1029/1998JD100032")</f>
        <v>http://dx.doi.org/10.1029/1998JD100032</v>
      </c>
      <c r="BG898" t="s">
        <v>74</v>
      </c>
      <c r="BH898" t="s">
        <v>74</v>
      </c>
      <c r="BI898">
        <v>16</v>
      </c>
      <c r="BJ898" t="s">
        <v>95</v>
      </c>
      <c r="BK898" t="s">
        <v>96</v>
      </c>
      <c r="BL898" t="s">
        <v>95</v>
      </c>
      <c r="BM898" t="s">
        <v>11523</v>
      </c>
      <c r="BN898" t="s">
        <v>74</v>
      </c>
      <c r="BO898" t="s">
        <v>250</v>
      </c>
      <c r="BP898" t="s">
        <v>74</v>
      </c>
      <c r="BQ898" t="s">
        <v>74</v>
      </c>
      <c r="BR898" t="s">
        <v>99</v>
      </c>
      <c r="BS898" t="s">
        <v>11524</v>
      </c>
      <c r="BT898" t="str">
        <f>HYPERLINK("https%3A%2F%2Fwww.webofscience.com%2Fwos%2Fwoscc%2Ffull-record%2FWOS:000078188700001","View Full Record in Web of Science")</f>
        <v>View Full Record in Web of Science</v>
      </c>
    </row>
    <row r="899" spans="1:72" x14ac:dyDescent="0.15">
      <c r="A899" t="s">
        <v>72</v>
      </c>
      <c r="B899" t="s">
        <v>11525</v>
      </c>
      <c r="C899" t="s">
        <v>74</v>
      </c>
      <c r="D899" t="s">
        <v>74</v>
      </c>
      <c r="E899" t="s">
        <v>74</v>
      </c>
      <c r="F899" t="s">
        <v>11525</v>
      </c>
      <c r="G899" t="s">
        <v>74</v>
      </c>
      <c r="H899" t="s">
        <v>74</v>
      </c>
      <c r="I899" t="s">
        <v>11526</v>
      </c>
      <c r="J899" t="s">
        <v>221</v>
      </c>
      <c r="K899" t="s">
        <v>74</v>
      </c>
      <c r="L899" t="s">
        <v>74</v>
      </c>
      <c r="M899" t="s">
        <v>77</v>
      </c>
      <c r="N899" t="s">
        <v>78</v>
      </c>
      <c r="O899" t="s">
        <v>74</v>
      </c>
      <c r="P899" t="s">
        <v>74</v>
      </c>
      <c r="Q899" t="s">
        <v>74</v>
      </c>
      <c r="R899" t="s">
        <v>74</v>
      </c>
      <c r="S899" t="s">
        <v>74</v>
      </c>
      <c r="T899" t="s">
        <v>74</v>
      </c>
      <c r="U899" t="s">
        <v>11527</v>
      </c>
      <c r="V899" t="s">
        <v>11528</v>
      </c>
      <c r="W899" t="s">
        <v>11529</v>
      </c>
      <c r="X899" t="s">
        <v>11530</v>
      </c>
      <c r="Y899" t="s">
        <v>11531</v>
      </c>
      <c r="Z899" t="s">
        <v>11532</v>
      </c>
      <c r="AA899" t="s">
        <v>11533</v>
      </c>
      <c r="AB899" t="s">
        <v>11534</v>
      </c>
      <c r="AC899" t="s">
        <v>74</v>
      </c>
      <c r="AD899" t="s">
        <v>74</v>
      </c>
      <c r="AE899" t="s">
        <v>74</v>
      </c>
      <c r="AF899" t="s">
        <v>74</v>
      </c>
      <c r="AG899">
        <v>40</v>
      </c>
      <c r="AH899">
        <v>19</v>
      </c>
      <c r="AI899">
        <v>20</v>
      </c>
      <c r="AJ899">
        <v>1</v>
      </c>
      <c r="AK899">
        <v>6</v>
      </c>
      <c r="AL899" t="s">
        <v>230</v>
      </c>
      <c r="AM899" t="s">
        <v>231</v>
      </c>
      <c r="AN899" t="s">
        <v>232</v>
      </c>
      <c r="AO899" t="s">
        <v>233</v>
      </c>
      <c r="AP899" t="s">
        <v>74</v>
      </c>
      <c r="AQ899" t="s">
        <v>74</v>
      </c>
      <c r="AR899" t="s">
        <v>234</v>
      </c>
      <c r="AS899" t="s">
        <v>235</v>
      </c>
      <c r="AT899" t="s">
        <v>11485</v>
      </c>
      <c r="AU899">
        <v>1999</v>
      </c>
      <c r="AV899">
        <v>104</v>
      </c>
      <c r="AW899" t="s">
        <v>11521</v>
      </c>
      <c r="AX899" t="s">
        <v>74</v>
      </c>
      <c r="AY899" t="s">
        <v>74</v>
      </c>
      <c r="AZ899" t="s">
        <v>74</v>
      </c>
      <c r="BA899" t="s">
        <v>74</v>
      </c>
      <c r="BB899">
        <v>1691</v>
      </c>
      <c r="BC899">
        <v>1697</v>
      </c>
      <c r="BD899" t="s">
        <v>74</v>
      </c>
      <c r="BE899" t="s">
        <v>11535</v>
      </c>
      <c r="BF899" t="str">
        <f>HYPERLINK("http://dx.doi.org/10.1029/1998JD100020","http://dx.doi.org/10.1029/1998JD100020")</f>
        <v>http://dx.doi.org/10.1029/1998JD100020</v>
      </c>
      <c r="BG899" t="s">
        <v>74</v>
      </c>
      <c r="BH899" t="s">
        <v>74</v>
      </c>
      <c r="BI899">
        <v>7</v>
      </c>
      <c r="BJ899" t="s">
        <v>95</v>
      </c>
      <c r="BK899" t="s">
        <v>96</v>
      </c>
      <c r="BL899" t="s">
        <v>95</v>
      </c>
      <c r="BM899" t="s">
        <v>11523</v>
      </c>
      <c r="BN899" t="s">
        <v>74</v>
      </c>
      <c r="BO899" t="s">
        <v>250</v>
      </c>
      <c r="BP899" t="s">
        <v>74</v>
      </c>
      <c r="BQ899" t="s">
        <v>74</v>
      </c>
      <c r="BR899" t="s">
        <v>99</v>
      </c>
      <c r="BS899" t="s">
        <v>11536</v>
      </c>
      <c r="BT899" t="str">
        <f>HYPERLINK("https%3A%2F%2Fwww.webofscience.com%2Fwos%2Fwoscc%2Ffull-record%2FWOS:000078188700009","View Full Record in Web of Science")</f>
        <v>View Full Record in Web of Science</v>
      </c>
    </row>
    <row r="900" spans="1:72" x14ac:dyDescent="0.15">
      <c r="A900" t="s">
        <v>72</v>
      </c>
      <c r="B900" t="s">
        <v>11537</v>
      </c>
      <c r="C900" t="s">
        <v>74</v>
      </c>
      <c r="D900" t="s">
        <v>74</v>
      </c>
      <c r="E900" t="s">
        <v>74</v>
      </c>
      <c r="F900" t="s">
        <v>11537</v>
      </c>
      <c r="G900" t="s">
        <v>74</v>
      </c>
      <c r="H900" t="s">
        <v>74</v>
      </c>
      <c r="I900" t="s">
        <v>11538</v>
      </c>
      <c r="J900" t="s">
        <v>221</v>
      </c>
      <c r="K900" t="s">
        <v>74</v>
      </c>
      <c r="L900" t="s">
        <v>74</v>
      </c>
      <c r="M900" t="s">
        <v>77</v>
      </c>
      <c r="N900" t="s">
        <v>78</v>
      </c>
      <c r="O900" t="s">
        <v>74</v>
      </c>
      <c r="P900" t="s">
        <v>74</v>
      </c>
      <c r="Q900" t="s">
        <v>74</v>
      </c>
      <c r="R900" t="s">
        <v>74</v>
      </c>
      <c r="S900" t="s">
        <v>74</v>
      </c>
      <c r="T900" t="s">
        <v>74</v>
      </c>
      <c r="U900" t="s">
        <v>11539</v>
      </c>
      <c r="V900" t="s">
        <v>11540</v>
      </c>
      <c r="W900" t="s">
        <v>11541</v>
      </c>
      <c r="X900" t="s">
        <v>2500</v>
      </c>
      <c r="Y900" t="s">
        <v>11542</v>
      </c>
      <c r="Z900" t="s">
        <v>11543</v>
      </c>
      <c r="AA900" t="s">
        <v>4082</v>
      </c>
      <c r="AB900" t="s">
        <v>11544</v>
      </c>
      <c r="AC900" t="s">
        <v>74</v>
      </c>
      <c r="AD900" t="s">
        <v>74</v>
      </c>
      <c r="AE900" t="s">
        <v>74</v>
      </c>
      <c r="AF900" t="s">
        <v>74</v>
      </c>
      <c r="AG900">
        <v>66</v>
      </c>
      <c r="AH900">
        <v>334</v>
      </c>
      <c r="AI900">
        <v>340</v>
      </c>
      <c r="AJ900">
        <v>0</v>
      </c>
      <c r="AK900">
        <v>16</v>
      </c>
      <c r="AL900" t="s">
        <v>230</v>
      </c>
      <c r="AM900" t="s">
        <v>231</v>
      </c>
      <c r="AN900" t="s">
        <v>232</v>
      </c>
      <c r="AO900" t="s">
        <v>233</v>
      </c>
      <c r="AP900" t="s">
        <v>317</v>
      </c>
      <c r="AQ900" t="s">
        <v>74</v>
      </c>
      <c r="AR900" t="s">
        <v>234</v>
      </c>
      <c r="AS900" t="s">
        <v>235</v>
      </c>
      <c r="AT900" t="s">
        <v>11485</v>
      </c>
      <c r="AU900">
        <v>1999</v>
      </c>
      <c r="AV900">
        <v>104</v>
      </c>
      <c r="AW900" t="s">
        <v>11521</v>
      </c>
      <c r="AX900" t="s">
        <v>74</v>
      </c>
      <c r="AY900" t="s">
        <v>74</v>
      </c>
      <c r="AZ900" t="s">
        <v>74</v>
      </c>
      <c r="BA900" t="s">
        <v>74</v>
      </c>
      <c r="BB900">
        <v>1781</v>
      </c>
      <c r="BC900">
        <v>1805</v>
      </c>
      <c r="BD900" t="s">
        <v>74</v>
      </c>
      <c r="BE900" t="s">
        <v>11545</v>
      </c>
      <c r="BF900" t="str">
        <f>HYPERLINK("http://dx.doi.org/10.1029/98JD02597","http://dx.doi.org/10.1029/98JD02597")</f>
        <v>http://dx.doi.org/10.1029/98JD02597</v>
      </c>
      <c r="BG900" t="s">
        <v>74</v>
      </c>
      <c r="BH900" t="s">
        <v>74</v>
      </c>
      <c r="BI900">
        <v>25</v>
      </c>
      <c r="BJ900" t="s">
        <v>95</v>
      </c>
      <c r="BK900" t="s">
        <v>96</v>
      </c>
      <c r="BL900" t="s">
        <v>95</v>
      </c>
      <c r="BM900" t="s">
        <v>11523</v>
      </c>
      <c r="BN900" t="s">
        <v>74</v>
      </c>
      <c r="BO900" t="s">
        <v>250</v>
      </c>
      <c r="BP900" t="s">
        <v>74</v>
      </c>
      <c r="BQ900" t="s">
        <v>74</v>
      </c>
      <c r="BR900" t="s">
        <v>99</v>
      </c>
      <c r="BS900" t="s">
        <v>11546</v>
      </c>
      <c r="BT900" t="str">
        <f>HYPERLINK("https%3A%2F%2Fwww.webofscience.com%2Fwos%2Fwoscc%2Ffull-record%2FWOS:000078188700017","View Full Record in Web of Science")</f>
        <v>View Full Record in Web of Science</v>
      </c>
    </row>
    <row r="901" spans="1:72" x14ac:dyDescent="0.15">
      <c r="A901" t="s">
        <v>72</v>
      </c>
      <c r="B901" t="s">
        <v>11547</v>
      </c>
      <c r="C901" t="s">
        <v>74</v>
      </c>
      <c r="D901" t="s">
        <v>74</v>
      </c>
      <c r="E901" t="s">
        <v>74</v>
      </c>
      <c r="F901" t="s">
        <v>11547</v>
      </c>
      <c r="G901" t="s">
        <v>74</v>
      </c>
      <c r="H901" t="s">
        <v>74</v>
      </c>
      <c r="I901" t="s">
        <v>11548</v>
      </c>
      <c r="J901" t="s">
        <v>221</v>
      </c>
      <c r="K901" t="s">
        <v>74</v>
      </c>
      <c r="L901" t="s">
        <v>74</v>
      </c>
      <c r="M901" t="s">
        <v>77</v>
      </c>
      <c r="N901" t="s">
        <v>78</v>
      </c>
      <c r="O901" t="s">
        <v>74</v>
      </c>
      <c r="P901" t="s">
        <v>74</v>
      </c>
      <c r="Q901" t="s">
        <v>74</v>
      </c>
      <c r="R901" t="s">
        <v>74</v>
      </c>
      <c r="S901" t="s">
        <v>74</v>
      </c>
      <c r="T901" t="s">
        <v>74</v>
      </c>
      <c r="U901" t="s">
        <v>11549</v>
      </c>
      <c r="V901" t="s">
        <v>11550</v>
      </c>
      <c r="W901" t="s">
        <v>11551</v>
      </c>
      <c r="X901" t="s">
        <v>11552</v>
      </c>
      <c r="Y901" t="s">
        <v>11553</v>
      </c>
      <c r="Z901" t="s">
        <v>74</v>
      </c>
      <c r="AA901" t="s">
        <v>11554</v>
      </c>
      <c r="AB901" t="s">
        <v>11555</v>
      </c>
      <c r="AC901" t="s">
        <v>74</v>
      </c>
      <c r="AD901" t="s">
        <v>74</v>
      </c>
      <c r="AE901" t="s">
        <v>74</v>
      </c>
      <c r="AF901" t="s">
        <v>74</v>
      </c>
      <c r="AG901">
        <v>61</v>
      </c>
      <c r="AH901">
        <v>37</v>
      </c>
      <c r="AI901">
        <v>38</v>
      </c>
      <c r="AJ901">
        <v>0</v>
      </c>
      <c r="AK901">
        <v>5</v>
      </c>
      <c r="AL901" t="s">
        <v>230</v>
      </c>
      <c r="AM901" t="s">
        <v>231</v>
      </c>
      <c r="AN901" t="s">
        <v>232</v>
      </c>
      <c r="AO901" t="s">
        <v>233</v>
      </c>
      <c r="AP901" t="s">
        <v>74</v>
      </c>
      <c r="AQ901" t="s">
        <v>74</v>
      </c>
      <c r="AR901" t="s">
        <v>234</v>
      </c>
      <c r="AS901" t="s">
        <v>235</v>
      </c>
      <c r="AT901" t="s">
        <v>11485</v>
      </c>
      <c r="AU901">
        <v>1999</v>
      </c>
      <c r="AV901">
        <v>104</v>
      </c>
      <c r="AW901" t="s">
        <v>11521</v>
      </c>
      <c r="AX901" t="s">
        <v>74</v>
      </c>
      <c r="AY901" t="s">
        <v>74</v>
      </c>
      <c r="AZ901" t="s">
        <v>74</v>
      </c>
      <c r="BA901" t="s">
        <v>74</v>
      </c>
      <c r="BB901">
        <v>1847</v>
      </c>
      <c r="BC901">
        <v>1861</v>
      </c>
      <c r="BD901" t="s">
        <v>74</v>
      </c>
      <c r="BE901" t="s">
        <v>11556</v>
      </c>
      <c r="BF901" t="str">
        <f>HYPERLINK("http://dx.doi.org/10.1029/1998JD100034","http://dx.doi.org/10.1029/1998JD100034")</f>
        <v>http://dx.doi.org/10.1029/1998JD100034</v>
      </c>
      <c r="BG901" t="s">
        <v>74</v>
      </c>
      <c r="BH901" t="s">
        <v>74</v>
      </c>
      <c r="BI901">
        <v>15</v>
      </c>
      <c r="BJ901" t="s">
        <v>95</v>
      </c>
      <c r="BK901" t="s">
        <v>96</v>
      </c>
      <c r="BL901" t="s">
        <v>95</v>
      </c>
      <c r="BM901" t="s">
        <v>11523</v>
      </c>
      <c r="BN901" t="s">
        <v>74</v>
      </c>
      <c r="BO901" t="s">
        <v>250</v>
      </c>
      <c r="BP901" t="s">
        <v>74</v>
      </c>
      <c r="BQ901" t="s">
        <v>74</v>
      </c>
      <c r="BR901" t="s">
        <v>99</v>
      </c>
      <c r="BS901" t="s">
        <v>11557</v>
      </c>
      <c r="BT901" t="str">
        <f>HYPERLINK("https%3A%2F%2Fwww.webofscience.com%2Fwos%2Fwoscc%2Ffull-record%2FWOS:000078188700022","View Full Record in Web of Science")</f>
        <v>View Full Record in Web of Science</v>
      </c>
    </row>
    <row r="902" spans="1:72" x14ac:dyDescent="0.15">
      <c r="A902" t="s">
        <v>72</v>
      </c>
      <c r="B902" t="s">
        <v>11558</v>
      </c>
      <c r="C902" t="s">
        <v>74</v>
      </c>
      <c r="D902" t="s">
        <v>74</v>
      </c>
      <c r="E902" t="s">
        <v>74</v>
      </c>
      <c r="F902" t="s">
        <v>11558</v>
      </c>
      <c r="G902" t="s">
        <v>74</v>
      </c>
      <c r="H902" t="s">
        <v>74</v>
      </c>
      <c r="I902" t="s">
        <v>11559</v>
      </c>
      <c r="J902" t="s">
        <v>1600</v>
      </c>
      <c r="K902" t="s">
        <v>74</v>
      </c>
      <c r="L902" t="s">
        <v>74</v>
      </c>
      <c r="M902" t="s">
        <v>77</v>
      </c>
      <c r="N902" t="s">
        <v>78</v>
      </c>
      <c r="O902" t="s">
        <v>74</v>
      </c>
      <c r="P902" t="s">
        <v>74</v>
      </c>
      <c r="Q902" t="s">
        <v>74</v>
      </c>
      <c r="R902" t="s">
        <v>74</v>
      </c>
      <c r="S902" t="s">
        <v>74</v>
      </c>
      <c r="T902" t="s">
        <v>11560</v>
      </c>
      <c r="U902" t="s">
        <v>11561</v>
      </c>
      <c r="V902" t="s">
        <v>11562</v>
      </c>
      <c r="W902" t="s">
        <v>11563</v>
      </c>
      <c r="X902" t="s">
        <v>11564</v>
      </c>
      <c r="Y902" t="s">
        <v>8340</v>
      </c>
      <c r="Z902" t="s">
        <v>11565</v>
      </c>
      <c r="AA902" t="s">
        <v>74</v>
      </c>
      <c r="AB902" t="s">
        <v>74</v>
      </c>
      <c r="AC902" t="s">
        <v>74</v>
      </c>
      <c r="AD902" t="s">
        <v>74</v>
      </c>
      <c r="AE902" t="s">
        <v>74</v>
      </c>
      <c r="AF902" t="s">
        <v>74</v>
      </c>
      <c r="AG902">
        <v>37</v>
      </c>
      <c r="AH902">
        <v>40</v>
      </c>
      <c r="AI902">
        <v>42</v>
      </c>
      <c r="AJ902">
        <v>3</v>
      </c>
      <c r="AK902">
        <v>10</v>
      </c>
      <c r="AL902" t="s">
        <v>210</v>
      </c>
      <c r="AM902" t="s">
        <v>211</v>
      </c>
      <c r="AN902" t="s">
        <v>212</v>
      </c>
      <c r="AO902" t="s">
        <v>1609</v>
      </c>
      <c r="AP902" t="s">
        <v>74</v>
      </c>
      <c r="AQ902" t="s">
        <v>74</v>
      </c>
      <c r="AR902" t="s">
        <v>1611</v>
      </c>
      <c r="AS902" t="s">
        <v>1612</v>
      </c>
      <c r="AT902" t="s">
        <v>11566</v>
      </c>
      <c r="AU902">
        <v>1999</v>
      </c>
      <c r="AV902">
        <v>165</v>
      </c>
      <c r="AW902">
        <v>1</v>
      </c>
      <c r="AX902" t="s">
        <v>74</v>
      </c>
      <c r="AY902" t="s">
        <v>74</v>
      </c>
      <c r="AZ902" t="s">
        <v>74</v>
      </c>
      <c r="BA902" t="s">
        <v>74</v>
      </c>
      <c r="BB902">
        <v>17</v>
      </c>
      <c r="BC902">
        <v>24</v>
      </c>
      <c r="BD902" t="s">
        <v>74</v>
      </c>
      <c r="BE902" t="s">
        <v>11567</v>
      </c>
      <c r="BF902" t="str">
        <f>HYPERLINK("http://dx.doi.org/10.1016/S0012-821X(98)00255-6","http://dx.doi.org/10.1016/S0012-821X(98)00255-6")</f>
        <v>http://dx.doi.org/10.1016/S0012-821X(98)00255-6</v>
      </c>
      <c r="BG902" t="s">
        <v>74</v>
      </c>
      <c r="BH902" t="s">
        <v>74</v>
      </c>
      <c r="BI902">
        <v>8</v>
      </c>
      <c r="BJ902" t="s">
        <v>216</v>
      </c>
      <c r="BK902" t="s">
        <v>96</v>
      </c>
      <c r="BL902" t="s">
        <v>216</v>
      </c>
      <c r="BM902" t="s">
        <v>11568</v>
      </c>
      <c r="BN902" t="s">
        <v>74</v>
      </c>
      <c r="BO902" t="s">
        <v>74</v>
      </c>
      <c r="BP902" t="s">
        <v>74</v>
      </c>
      <c r="BQ902" t="s">
        <v>74</v>
      </c>
      <c r="BR902" t="s">
        <v>99</v>
      </c>
      <c r="BS902" t="s">
        <v>11569</v>
      </c>
      <c r="BT902" t="str">
        <f>HYPERLINK("https%3A%2F%2Fwww.webofscience.com%2Fwos%2Fwoscc%2Ffull-record%2FWOS:000077930300002","View Full Record in Web of Science")</f>
        <v>View Full Record in Web of Science</v>
      </c>
    </row>
    <row r="903" spans="1:72" x14ac:dyDescent="0.15">
      <c r="A903" t="s">
        <v>72</v>
      </c>
      <c r="B903" t="s">
        <v>11570</v>
      </c>
      <c r="C903" t="s">
        <v>74</v>
      </c>
      <c r="D903" t="s">
        <v>74</v>
      </c>
      <c r="E903" t="s">
        <v>74</v>
      </c>
      <c r="F903" t="s">
        <v>11570</v>
      </c>
      <c r="G903" t="s">
        <v>74</v>
      </c>
      <c r="H903" t="s">
        <v>74</v>
      </c>
      <c r="I903" t="s">
        <v>11571</v>
      </c>
      <c r="J903" t="s">
        <v>6330</v>
      </c>
      <c r="K903" t="s">
        <v>74</v>
      </c>
      <c r="L903" t="s">
        <v>74</v>
      </c>
      <c r="M903" t="s">
        <v>77</v>
      </c>
      <c r="N903" t="s">
        <v>123</v>
      </c>
      <c r="O903" t="s">
        <v>11572</v>
      </c>
      <c r="P903" t="s">
        <v>11573</v>
      </c>
      <c r="Q903" t="s">
        <v>11574</v>
      </c>
      <c r="R903" t="s">
        <v>74</v>
      </c>
      <c r="S903" t="s">
        <v>74</v>
      </c>
      <c r="T903" t="s">
        <v>74</v>
      </c>
      <c r="U903" t="s">
        <v>11575</v>
      </c>
      <c r="V903" t="s">
        <v>11576</v>
      </c>
      <c r="W903" t="s">
        <v>11577</v>
      </c>
      <c r="X903" t="s">
        <v>11578</v>
      </c>
      <c r="Y903" t="s">
        <v>11579</v>
      </c>
      <c r="Z903" t="s">
        <v>74</v>
      </c>
      <c r="AA903" t="s">
        <v>11580</v>
      </c>
      <c r="AB903" t="s">
        <v>11581</v>
      </c>
      <c r="AC903" t="s">
        <v>74</v>
      </c>
      <c r="AD903" t="s">
        <v>74</v>
      </c>
      <c r="AE903" t="s">
        <v>74</v>
      </c>
      <c r="AF903" t="s">
        <v>74</v>
      </c>
      <c r="AG903">
        <v>70</v>
      </c>
      <c r="AH903">
        <v>39</v>
      </c>
      <c r="AI903">
        <v>41</v>
      </c>
      <c r="AJ903">
        <v>0</v>
      </c>
      <c r="AK903">
        <v>3</v>
      </c>
      <c r="AL903" t="s">
        <v>86</v>
      </c>
      <c r="AM903" t="s">
        <v>87</v>
      </c>
      <c r="AN903" t="s">
        <v>88</v>
      </c>
      <c r="AO903" t="s">
        <v>6338</v>
      </c>
      <c r="AP903" t="s">
        <v>74</v>
      </c>
      <c r="AQ903" t="s">
        <v>74</v>
      </c>
      <c r="AR903" t="s">
        <v>6339</v>
      </c>
      <c r="AS903" t="s">
        <v>6340</v>
      </c>
      <c r="AT903" t="s">
        <v>11566</v>
      </c>
      <c r="AU903">
        <v>1999</v>
      </c>
      <c r="AV903">
        <v>56</v>
      </c>
      <c r="AW903">
        <v>2</v>
      </c>
      <c r="AX903" t="s">
        <v>74</v>
      </c>
      <c r="AY903" t="s">
        <v>74</v>
      </c>
      <c r="AZ903" t="s">
        <v>74</v>
      </c>
      <c r="BA903" t="s">
        <v>74</v>
      </c>
      <c r="BB903">
        <v>176</v>
      </c>
      <c r="BC903">
        <v>193</v>
      </c>
      <c r="BD903" t="s">
        <v>74</v>
      </c>
      <c r="BE903" t="s">
        <v>11582</v>
      </c>
      <c r="BF903" t="str">
        <f>HYPERLINK("http://dx.doi.org/10.1175/1520-0469(1999)056&lt;0176:IOPTPP&gt;2.0.CO;2","http://dx.doi.org/10.1175/1520-0469(1999)056&lt;0176:IOPTPP&gt;2.0.CO;2")</f>
        <v>http://dx.doi.org/10.1175/1520-0469(1999)056&lt;0176:IOPTPP&gt;2.0.CO;2</v>
      </c>
      <c r="BG903" t="s">
        <v>74</v>
      </c>
      <c r="BH903" t="s">
        <v>74</v>
      </c>
      <c r="BI903">
        <v>18</v>
      </c>
      <c r="BJ903" t="s">
        <v>95</v>
      </c>
      <c r="BK903" t="s">
        <v>143</v>
      </c>
      <c r="BL903" t="s">
        <v>95</v>
      </c>
      <c r="BM903" t="s">
        <v>11583</v>
      </c>
      <c r="BN903" t="s">
        <v>74</v>
      </c>
      <c r="BO903" t="s">
        <v>98</v>
      </c>
      <c r="BP903" t="s">
        <v>74</v>
      </c>
      <c r="BQ903" t="s">
        <v>74</v>
      </c>
      <c r="BR903" t="s">
        <v>99</v>
      </c>
      <c r="BS903" t="s">
        <v>11584</v>
      </c>
      <c r="BT903" t="str">
        <f>HYPERLINK("https%3A%2F%2Fwww.webofscience.com%2Fwos%2Fwoscc%2Ffull-record%2FWOS:000078226000004","View Full Record in Web of Science")</f>
        <v>View Full Record in Web of Science</v>
      </c>
    </row>
    <row r="904" spans="1:72" x14ac:dyDescent="0.15">
      <c r="A904" t="s">
        <v>72</v>
      </c>
      <c r="B904" t="s">
        <v>11585</v>
      </c>
      <c r="C904" t="s">
        <v>74</v>
      </c>
      <c r="D904" t="s">
        <v>74</v>
      </c>
      <c r="E904" t="s">
        <v>74</v>
      </c>
      <c r="F904" t="s">
        <v>11585</v>
      </c>
      <c r="G904" t="s">
        <v>74</v>
      </c>
      <c r="H904" t="s">
        <v>74</v>
      </c>
      <c r="I904" t="s">
        <v>11586</v>
      </c>
      <c r="J904" t="s">
        <v>6330</v>
      </c>
      <c r="K904" t="s">
        <v>74</v>
      </c>
      <c r="L904" t="s">
        <v>74</v>
      </c>
      <c r="M904" t="s">
        <v>77</v>
      </c>
      <c r="N904" t="s">
        <v>123</v>
      </c>
      <c r="O904" t="s">
        <v>11572</v>
      </c>
      <c r="P904" t="s">
        <v>11573</v>
      </c>
      <c r="Q904" t="s">
        <v>11574</v>
      </c>
      <c r="R904" t="s">
        <v>74</v>
      </c>
      <c r="S904" t="s">
        <v>74</v>
      </c>
      <c r="T904" t="s">
        <v>74</v>
      </c>
      <c r="U904" t="s">
        <v>11587</v>
      </c>
      <c r="V904" t="s">
        <v>11588</v>
      </c>
      <c r="W904" t="s">
        <v>11589</v>
      </c>
      <c r="X904" t="s">
        <v>11590</v>
      </c>
      <c r="Y904" t="s">
        <v>11591</v>
      </c>
      <c r="Z904" t="s">
        <v>11592</v>
      </c>
      <c r="AA904" t="s">
        <v>11593</v>
      </c>
      <c r="AB904" t="s">
        <v>11594</v>
      </c>
      <c r="AC904" t="s">
        <v>74</v>
      </c>
      <c r="AD904" t="s">
        <v>74</v>
      </c>
      <c r="AE904" t="s">
        <v>74</v>
      </c>
      <c r="AF904" t="s">
        <v>74</v>
      </c>
      <c r="AG904">
        <v>103</v>
      </c>
      <c r="AH904">
        <v>77</v>
      </c>
      <c r="AI904">
        <v>84</v>
      </c>
      <c r="AJ904">
        <v>0</v>
      </c>
      <c r="AK904">
        <v>22</v>
      </c>
      <c r="AL904" t="s">
        <v>86</v>
      </c>
      <c r="AM904" t="s">
        <v>87</v>
      </c>
      <c r="AN904" t="s">
        <v>88</v>
      </c>
      <c r="AO904" t="s">
        <v>6338</v>
      </c>
      <c r="AP904" t="s">
        <v>11595</v>
      </c>
      <c r="AQ904" t="s">
        <v>74</v>
      </c>
      <c r="AR904" t="s">
        <v>6339</v>
      </c>
      <c r="AS904" t="s">
        <v>6340</v>
      </c>
      <c r="AT904" t="s">
        <v>11566</v>
      </c>
      <c r="AU904">
        <v>1999</v>
      </c>
      <c r="AV904">
        <v>56</v>
      </c>
      <c r="AW904">
        <v>2</v>
      </c>
      <c r="AX904" t="s">
        <v>74</v>
      </c>
      <c r="AY904" t="s">
        <v>74</v>
      </c>
      <c r="AZ904" t="s">
        <v>74</v>
      </c>
      <c r="BA904" t="s">
        <v>74</v>
      </c>
      <c r="BB904">
        <v>286</v>
      </c>
      <c r="BC904">
        <v>306</v>
      </c>
      <c r="BD904" t="s">
        <v>74</v>
      </c>
      <c r="BE904" t="s">
        <v>11596</v>
      </c>
      <c r="BF904" t="str">
        <f>HYPERLINK("http://dx.doi.org/10.1175/1520-0469(1999)056&lt;0286:ASASOC&gt;2.0.CO;2","http://dx.doi.org/10.1175/1520-0469(1999)056&lt;0286:ASASOC&gt;2.0.CO;2")</f>
        <v>http://dx.doi.org/10.1175/1520-0469(1999)056&lt;0286:ASASOC&gt;2.0.CO;2</v>
      </c>
      <c r="BG904" t="s">
        <v>74</v>
      </c>
      <c r="BH904" t="s">
        <v>74</v>
      </c>
      <c r="BI904">
        <v>21</v>
      </c>
      <c r="BJ904" t="s">
        <v>95</v>
      </c>
      <c r="BK904" t="s">
        <v>156</v>
      </c>
      <c r="BL904" t="s">
        <v>95</v>
      </c>
      <c r="BM904" t="s">
        <v>11583</v>
      </c>
      <c r="BN904" t="s">
        <v>74</v>
      </c>
      <c r="BO904" t="s">
        <v>98</v>
      </c>
      <c r="BP904" t="s">
        <v>74</v>
      </c>
      <c r="BQ904" t="s">
        <v>74</v>
      </c>
      <c r="BR904" t="s">
        <v>99</v>
      </c>
      <c r="BS904" t="s">
        <v>11597</v>
      </c>
      <c r="BT904" t="str">
        <f>HYPERLINK("https%3A%2F%2Fwww.webofscience.com%2Fwos%2Fwoscc%2Ffull-record%2FWOS:000078226000012","View Full Record in Web of Science")</f>
        <v>View Full Record in Web of Science</v>
      </c>
    </row>
    <row r="905" spans="1:72" x14ac:dyDescent="0.15">
      <c r="A905" t="s">
        <v>72</v>
      </c>
      <c r="B905" t="s">
        <v>11598</v>
      </c>
      <c r="C905" t="s">
        <v>74</v>
      </c>
      <c r="D905" t="s">
        <v>74</v>
      </c>
      <c r="E905" t="s">
        <v>74</v>
      </c>
      <c r="F905" t="s">
        <v>11598</v>
      </c>
      <c r="G905" t="s">
        <v>74</v>
      </c>
      <c r="H905" t="s">
        <v>74</v>
      </c>
      <c r="I905" t="s">
        <v>11599</v>
      </c>
      <c r="J905" t="s">
        <v>204</v>
      </c>
      <c r="K905" t="s">
        <v>74</v>
      </c>
      <c r="L905" t="s">
        <v>74</v>
      </c>
      <c r="M905" t="s">
        <v>77</v>
      </c>
      <c r="N905" t="s">
        <v>78</v>
      </c>
      <c r="O905" t="s">
        <v>74</v>
      </c>
      <c r="P905" t="s">
        <v>74</v>
      </c>
      <c r="Q905" t="s">
        <v>74</v>
      </c>
      <c r="R905" t="s">
        <v>74</v>
      </c>
      <c r="S905" t="s">
        <v>74</v>
      </c>
      <c r="T905" t="s">
        <v>11600</v>
      </c>
      <c r="U905" t="s">
        <v>74</v>
      </c>
      <c r="V905" t="s">
        <v>11601</v>
      </c>
      <c r="W905" t="s">
        <v>11602</v>
      </c>
      <c r="X905" t="s">
        <v>11603</v>
      </c>
      <c r="Y905" t="s">
        <v>11604</v>
      </c>
      <c r="Z905" t="s">
        <v>11605</v>
      </c>
      <c r="AA905" t="s">
        <v>74</v>
      </c>
      <c r="AB905" t="s">
        <v>74</v>
      </c>
      <c r="AC905" t="s">
        <v>74</v>
      </c>
      <c r="AD905" t="s">
        <v>74</v>
      </c>
      <c r="AE905" t="s">
        <v>74</v>
      </c>
      <c r="AF905" t="s">
        <v>74</v>
      </c>
      <c r="AG905">
        <v>22</v>
      </c>
      <c r="AH905">
        <v>72</v>
      </c>
      <c r="AI905">
        <v>81</v>
      </c>
      <c r="AJ905">
        <v>0</v>
      </c>
      <c r="AK905">
        <v>6</v>
      </c>
      <c r="AL905" t="s">
        <v>210</v>
      </c>
      <c r="AM905" t="s">
        <v>211</v>
      </c>
      <c r="AN905" t="s">
        <v>212</v>
      </c>
      <c r="AO905" t="s">
        <v>213</v>
      </c>
      <c r="AP905" t="s">
        <v>8377</v>
      </c>
      <c r="AQ905" t="s">
        <v>74</v>
      </c>
      <c r="AR905" t="s">
        <v>204</v>
      </c>
      <c r="AS905" t="s">
        <v>214</v>
      </c>
      <c r="AT905" t="s">
        <v>11566</v>
      </c>
      <c r="AU905">
        <v>1999</v>
      </c>
      <c r="AV905">
        <v>301</v>
      </c>
      <c r="AW905" t="s">
        <v>1614</v>
      </c>
      <c r="AX905" t="s">
        <v>74</v>
      </c>
      <c r="AY905" t="s">
        <v>74</v>
      </c>
      <c r="AZ905" t="s">
        <v>74</v>
      </c>
      <c r="BA905" t="s">
        <v>74</v>
      </c>
      <c r="BB905">
        <v>61</v>
      </c>
      <c r="BC905">
        <v>74</v>
      </c>
      <c r="BD905" t="s">
        <v>74</v>
      </c>
      <c r="BE905" t="s">
        <v>11606</v>
      </c>
      <c r="BF905" t="str">
        <f>HYPERLINK("http://dx.doi.org/10.1016/S0040-1951(98)00155-3","http://dx.doi.org/10.1016/S0040-1951(98)00155-3")</f>
        <v>http://dx.doi.org/10.1016/S0040-1951(98)00155-3</v>
      </c>
      <c r="BG905" t="s">
        <v>74</v>
      </c>
      <c r="BH905" t="s">
        <v>74</v>
      </c>
      <c r="BI905">
        <v>14</v>
      </c>
      <c r="BJ905" t="s">
        <v>216</v>
      </c>
      <c r="BK905" t="s">
        <v>96</v>
      </c>
      <c r="BL905" t="s">
        <v>216</v>
      </c>
      <c r="BM905" t="s">
        <v>11607</v>
      </c>
      <c r="BN905" t="s">
        <v>74</v>
      </c>
      <c r="BO905" t="s">
        <v>74</v>
      </c>
      <c r="BP905" t="s">
        <v>74</v>
      </c>
      <c r="BQ905" t="s">
        <v>74</v>
      </c>
      <c r="BR905" t="s">
        <v>99</v>
      </c>
      <c r="BS905" t="s">
        <v>11608</v>
      </c>
      <c r="BT905" t="str">
        <f>HYPERLINK("https%3A%2F%2Fwww.webofscience.com%2Fwos%2Fwoscc%2Ffull-record%2FWOS:000078729600004","View Full Record in Web of Science")</f>
        <v>View Full Record in Web of Science</v>
      </c>
    </row>
    <row r="906" spans="1:72" x14ac:dyDescent="0.15">
      <c r="A906" t="s">
        <v>72</v>
      </c>
      <c r="B906" t="s">
        <v>11609</v>
      </c>
      <c r="C906" t="s">
        <v>74</v>
      </c>
      <c r="D906" t="s">
        <v>74</v>
      </c>
      <c r="E906" t="s">
        <v>74</v>
      </c>
      <c r="F906" t="s">
        <v>11609</v>
      </c>
      <c r="G906" t="s">
        <v>74</v>
      </c>
      <c r="H906" t="s">
        <v>74</v>
      </c>
      <c r="I906" t="s">
        <v>11610</v>
      </c>
      <c r="J906" t="s">
        <v>11611</v>
      </c>
      <c r="K906" t="s">
        <v>74</v>
      </c>
      <c r="L906" t="s">
        <v>74</v>
      </c>
      <c r="M906" t="s">
        <v>77</v>
      </c>
      <c r="N906" t="s">
        <v>78</v>
      </c>
      <c r="O906" t="s">
        <v>74</v>
      </c>
      <c r="P906" t="s">
        <v>74</v>
      </c>
      <c r="Q906" t="s">
        <v>74</v>
      </c>
      <c r="R906" t="s">
        <v>74</v>
      </c>
      <c r="S906" t="s">
        <v>74</v>
      </c>
      <c r="T906" t="s">
        <v>11612</v>
      </c>
      <c r="U906" t="s">
        <v>11613</v>
      </c>
      <c r="V906" t="s">
        <v>11614</v>
      </c>
      <c r="W906" t="s">
        <v>11615</v>
      </c>
      <c r="X906" t="s">
        <v>11616</v>
      </c>
      <c r="Y906" t="s">
        <v>11617</v>
      </c>
      <c r="Z906" t="s">
        <v>11618</v>
      </c>
      <c r="AA906" t="s">
        <v>74</v>
      </c>
      <c r="AB906" t="s">
        <v>74</v>
      </c>
      <c r="AC906" t="s">
        <v>11619</v>
      </c>
      <c r="AD906" t="s">
        <v>11620</v>
      </c>
      <c r="AE906" t="s">
        <v>74</v>
      </c>
      <c r="AF906" t="s">
        <v>74</v>
      </c>
      <c r="AG906">
        <v>69</v>
      </c>
      <c r="AH906">
        <v>60</v>
      </c>
      <c r="AI906">
        <v>71</v>
      </c>
      <c r="AJ906">
        <v>0</v>
      </c>
      <c r="AK906">
        <v>7</v>
      </c>
      <c r="AL906" t="s">
        <v>210</v>
      </c>
      <c r="AM906" t="s">
        <v>211</v>
      </c>
      <c r="AN906" t="s">
        <v>212</v>
      </c>
      <c r="AO906" t="s">
        <v>11621</v>
      </c>
      <c r="AP906" t="s">
        <v>11622</v>
      </c>
      <c r="AQ906" t="s">
        <v>74</v>
      </c>
      <c r="AR906" t="s">
        <v>11623</v>
      </c>
      <c r="AS906" t="s">
        <v>11624</v>
      </c>
      <c r="AT906" t="s">
        <v>11625</v>
      </c>
      <c r="AU906">
        <v>1999</v>
      </c>
      <c r="AV906">
        <v>1416</v>
      </c>
      <c r="AW906" t="s">
        <v>1614</v>
      </c>
      <c r="AX906" t="s">
        <v>74</v>
      </c>
      <c r="AY906" t="s">
        <v>74</v>
      </c>
      <c r="AZ906" t="s">
        <v>74</v>
      </c>
      <c r="BA906" t="s">
        <v>74</v>
      </c>
      <c r="BB906">
        <v>349</v>
      </c>
      <c r="BC906">
        <v>360</v>
      </c>
      <c r="BD906" t="s">
        <v>74</v>
      </c>
      <c r="BE906" t="s">
        <v>11626</v>
      </c>
      <c r="BF906" t="str">
        <f>HYPERLINK("http://dx.doi.org/10.1016/S0005-2736(98)00239-9","http://dx.doi.org/10.1016/S0005-2736(98)00239-9")</f>
        <v>http://dx.doi.org/10.1016/S0005-2736(98)00239-9</v>
      </c>
      <c r="BG906" t="s">
        <v>74</v>
      </c>
      <c r="BH906" t="s">
        <v>74</v>
      </c>
      <c r="BI906">
        <v>12</v>
      </c>
      <c r="BJ906" t="s">
        <v>7157</v>
      </c>
      <c r="BK906" t="s">
        <v>96</v>
      </c>
      <c r="BL906" t="s">
        <v>7157</v>
      </c>
      <c r="BM906" t="s">
        <v>11627</v>
      </c>
      <c r="BN906">
        <v>9889395</v>
      </c>
      <c r="BO906" t="s">
        <v>74</v>
      </c>
      <c r="BP906" t="s">
        <v>74</v>
      </c>
      <c r="BQ906" t="s">
        <v>74</v>
      </c>
      <c r="BR906" t="s">
        <v>99</v>
      </c>
      <c r="BS906" t="s">
        <v>11628</v>
      </c>
      <c r="BT906" t="str">
        <f>HYPERLINK("https%3A%2F%2Fwww.webofscience.com%2Fwos%2Fwoscc%2Ffull-record%2FWOS:000078324700032","View Full Record in Web of Science")</f>
        <v>View Full Record in Web of Science</v>
      </c>
    </row>
    <row r="907" spans="1:72" x14ac:dyDescent="0.15">
      <c r="A907" t="s">
        <v>72</v>
      </c>
      <c r="B907" t="s">
        <v>11629</v>
      </c>
      <c r="C907" t="s">
        <v>74</v>
      </c>
      <c r="D907" t="s">
        <v>74</v>
      </c>
      <c r="E907" t="s">
        <v>74</v>
      </c>
      <c r="F907" t="s">
        <v>11629</v>
      </c>
      <c r="G907" t="s">
        <v>74</v>
      </c>
      <c r="H907" t="s">
        <v>74</v>
      </c>
      <c r="I907" t="s">
        <v>11630</v>
      </c>
      <c r="J907" t="s">
        <v>1639</v>
      </c>
      <c r="K907" t="s">
        <v>74</v>
      </c>
      <c r="L907" t="s">
        <v>74</v>
      </c>
      <c r="M907" t="s">
        <v>77</v>
      </c>
      <c r="N907" t="s">
        <v>78</v>
      </c>
      <c r="O907" t="s">
        <v>74</v>
      </c>
      <c r="P907" t="s">
        <v>74</v>
      </c>
      <c r="Q907" t="s">
        <v>74</v>
      </c>
      <c r="R907" t="s">
        <v>74</v>
      </c>
      <c r="S907" t="s">
        <v>74</v>
      </c>
      <c r="T907" t="s">
        <v>74</v>
      </c>
      <c r="U907" t="s">
        <v>11631</v>
      </c>
      <c r="V907" t="s">
        <v>11632</v>
      </c>
      <c r="W907" t="s">
        <v>11633</v>
      </c>
      <c r="X907" t="s">
        <v>7815</v>
      </c>
      <c r="Y907" t="s">
        <v>11634</v>
      </c>
      <c r="Z907" t="s">
        <v>74</v>
      </c>
      <c r="AA907" t="s">
        <v>74</v>
      </c>
      <c r="AB907" t="s">
        <v>74</v>
      </c>
      <c r="AC907" t="s">
        <v>74</v>
      </c>
      <c r="AD907" t="s">
        <v>74</v>
      </c>
      <c r="AE907" t="s">
        <v>74</v>
      </c>
      <c r="AF907" t="s">
        <v>74</v>
      </c>
      <c r="AG907">
        <v>34</v>
      </c>
      <c r="AH907">
        <v>12</v>
      </c>
      <c r="AI907">
        <v>16</v>
      </c>
      <c r="AJ907">
        <v>0</v>
      </c>
      <c r="AK907">
        <v>4</v>
      </c>
      <c r="AL907" t="s">
        <v>1645</v>
      </c>
      <c r="AM907" t="s">
        <v>531</v>
      </c>
      <c r="AN907" t="s">
        <v>1667</v>
      </c>
      <c r="AO907" t="s">
        <v>1648</v>
      </c>
      <c r="AP907" t="s">
        <v>74</v>
      </c>
      <c r="AQ907" t="s">
        <v>74</v>
      </c>
      <c r="AR907" t="s">
        <v>1650</v>
      </c>
      <c r="AS907" t="s">
        <v>1651</v>
      </c>
      <c r="AT907" t="s">
        <v>11635</v>
      </c>
      <c r="AU907">
        <v>1999</v>
      </c>
      <c r="AV907">
        <v>20</v>
      </c>
      <c r="AW907">
        <v>1</v>
      </c>
      <c r="AX907" t="s">
        <v>74</v>
      </c>
      <c r="AY907" t="s">
        <v>74</v>
      </c>
      <c r="AZ907" t="s">
        <v>74</v>
      </c>
      <c r="BA907" t="s">
        <v>74</v>
      </c>
      <c r="BB907">
        <v>31</v>
      </c>
      <c r="BC907">
        <v>47</v>
      </c>
      <c r="BD907" t="s">
        <v>74</v>
      </c>
      <c r="BE907" t="s">
        <v>11636</v>
      </c>
      <c r="BF907" t="str">
        <f>HYPERLINK("http://dx.doi.org/10.1080/014311699213587","http://dx.doi.org/10.1080/014311699213587")</f>
        <v>http://dx.doi.org/10.1080/014311699213587</v>
      </c>
      <c r="BG907" t="s">
        <v>74</v>
      </c>
      <c r="BH907" t="s">
        <v>74</v>
      </c>
      <c r="BI907">
        <v>17</v>
      </c>
      <c r="BJ907" t="s">
        <v>1654</v>
      </c>
      <c r="BK907" t="s">
        <v>96</v>
      </c>
      <c r="BL907" t="s">
        <v>1654</v>
      </c>
      <c r="BM907" t="s">
        <v>11637</v>
      </c>
      <c r="BN907" t="s">
        <v>74</v>
      </c>
      <c r="BO907" t="s">
        <v>74</v>
      </c>
      <c r="BP907" t="s">
        <v>74</v>
      </c>
      <c r="BQ907" t="s">
        <v>74</v>
      </c>
      <c r="BR907" t="s">
        <v>99</v>
      </c>
      <c r="BS907" t="s">
        <v>11638</v>
      </c>
      <c r="BT907" t="str">
        <f>HYPERLINK("https%3A%2F%2Fwww.webofscience.com%2Fwos%2Fwoscc%2Ffull-record%2FWOS:000078535400004","View Full Record in Web of Science")</f>
        <v>View Full Record in Web of Science</v>
      </c>
    </row>
    <row r="908" spans="1:72" x14ac:dyDescent="0.15">
      <c r="A908" t="s">
        <v>72</v>
      </c>
      <c r="B908" t="s">
        <v>11639</v>
      </c>
      <c r="C908" t="s">
        <v>74</v>
      </c>
      <c r="D908" t="s">
        <v>74</v>
      </c>
      <c r="E908" t="s">
        <v>74</v>
      </c>
      <c r="F908" t="s">
        <v>11639</v>
      </c>
      <c r="G908" t="s">
        <v>74</v>
      </c>
      <c r="H908" t="s">
        <v>74</v>
      </c>
      <c r="I908" t="s">
        <v>11640</v>
      </c>
      <c r="J908" t="s">
        <v>458</v>
      </c>
      <c r="K908" t="s">
        <v>74</v>
      </c>
      <c r="L908" t="s">
        <v>74</v>
      </c>
      <c r="M908" t="s">
        <v>77</v>
      </c>
      <c r="N908" t="s">
        <v>78</v>
      </c>
      <c r="O908" t="s">
        <v>74</v>
      </c>
      <c r="P908" t="s">
        <v>74</v>
      </c>
      <c r="Q908" t="s">
        <v>74</v>
      </c>
      <c r="R908" t="s">
        <v>74</v>
      </c>
      <c r="S908" t="s">
        <v>74</v>
      </c>
      <c r="T908" t="s">
        <v>74</v>
      </c>
      <c r="U908" t="s">
        <v>11641</v>
      </c>
      <c r="V908" t="s">
        <v>11642</v>
      </c>
      <c r="W908" t="s">
        <v>6270</v>
      </c>
      <c r="X908" t="s">
        <v>4692</v>
      </c>
      <c r="Y908" t="s">
        <v>11643</v>
      </c>
      <c r="Z908" t="s">
        <v>11644</v>
      </c>
      <c r="AA908" t="s">
        <v>74</v>
      </c>
      <c r="AB908" t="s">
        <v>74</v>
      </c>
      <c r="AC908" t="s">
        <v>74</v>
      </c>
      <c r="AD908" t="s">
        <v>74</v>
      </c>
      <c r="AE908" t="s">
        <v>74</v>
      </c>
      <c r="AF908" t="s">
        <v>74</v>
      </c>
      <c r="AG908">
        <v>58</v>
      </c>
      <c r="AH908">
        <v>98</v>
      </c>
      <c r="AI908">
        <v>105</v>
      </c>
      <c r="AJ908">
        <v>0</v>
      </c>
      <c r="AK908">
        <v>4</v>
      </c>
      <c r="AL908" t="s">
        <v>230</v>
      </c>
      <c r="AM908" t="s">
        <v>231</v>
      </c>
      <c r="AN908" t="s">
        <v>232</v>
      </c>
      <c r="AO908" t="s">
        <v>465</v>
      </c>
      <c r="AP908" t="s">
        <v>466</v>
      </c>
      <c r="AQ908" t="s">
        <v>74</v>
      </c>
      <c r="AR908" t="s">
        <v>467</v>
      </c>
      <c r="AS908" t="s">
        <v>468</v>
      </c>
      <c r="AT908" t="s">
        <v>11635</v>
      </c>
      <c r="AU908">
        <v>1999</v>
      </c>
      <c r="AV908">
        <v>104</v>
      </c>
      <c r="AW908" t="s">
        <v>11645</v>
      </c>
      <c r="AX908" t="s">
        <v>74</v>
      </c>
      <c r="AY908" t="s">
        <v>74</v>
      </c>
      <c r="AZ908" t="s">
        <v>74</v>
      </c>
      <c r="BA908" t="s">
        <v>74</v>
      </c>
      <c r="BB908">
        <v>661</v>
      </c>
      <c r="BC908">
        <v>677</v>
      </c>
      <c r="BD908" t="s">
        <v>74</v>
      </c>
      <c r="BE908" t="s">
        <v>11646</v>
      </c>
      <c r="BF908" t="str">
        <f>HYPERLINK("http://dx.doi.org/10.1029/1998JB900034","http://dx.doi.org/10.1029/1998JB900034")</f>
        <v>http://dx.doi.org/10.1029/1998JB900034</v>
      </c>
      <c r="BG908" t="s">
        <v>74</v>
      </c>
      <c r="BH908" t="s">
        <v>74</v>
      </c>
      <c r="BI908">
        <v>17</v>
      </c>
      <c r="BJ908" t="s">
        <v>216</v>
      </c>
      <c r="BK908" t="s">
        <v>96</v>
      </c>
      <c r="BL908" t="s">
        <v>216</v>
      </c>
      <c r="BM908" t="s">
        <v>11647</v>
      </c>
      <c r="BN908" t="s">
        <v>74</v>
      </c>
      <c r="BO908" t="s">
        <v>250</v>
      </c>
      <c r="BP908" t="s">
        <v>74</v>
      </c>
      <c r="BQ908" t="s">
        <v>74</v>
      </c>
      <c r="BR908" t="s">
        <v>99</v>
      </c>
      <c r="BS908" t="s">
        <v>11648</v>
      </c>
      <c r="BT908" t="str">
        <f>HYPERLINK("https%3A%2F%2Fwww.webofscience.com%2Fwos%2Fwoscc%2Ffull-record%2FWOS:000078162100005","View Full Record in Web of Science")</f>
        <v>View Full Record in Web of Science</v>
      </c>
    </row>
    <row r="909" spans="1:72" x14ac:dyDescent="0.15">
      <c r="A909" t="s">
        <v>72</v>
      </c>
      <c r="B909" t="s">
        <v>11649</v>
      </c>
      <c r="C909" t="s">
        <v>74</v>
      </c>
      <c r="D909" t="s">
        <v>74</v>
      </c>
      <c r="E909" t="s">
        <v>74</v>
      </c>
      <c r="F909" t="s">
        <v>11649</v>
      </c>
      <c r="G909" t="s">
        <v>74</v>
      </c>
      <c r="H909" t="s">
        <v>74</v>
      </c>
      <c r="I909" t="s">
        <v>11650</v>
      </c>
      <c r="J909" t="s">
        <v>11651</v>
      </c>
      <c r="K909" t="s">
        <v>74</v>
      </c>
      <c r="L909" t="s">
        <v>74</v>
      </c>
      <c r="M909" t="s">
        <v>77</v>
      </c>
      <c r="N909" t="s">
        <v>78</v>
      </c>
      <c r="O909" t="s">
        <v>74</v>
      </c>
      <c r="P909" t="s">
        <v>74</v>
      </c>
      <c r="Q909" t="s">
        <v>74</v>
      </c>
      <c r="R909" t="s">
        <v>74</v>
      </c>
      <c r="S909" t="s">
        <v>74</v>
      </c>
      <c r="T909" t="s">
        <v>11652</v>
      </c>
      <c r="U909" t="s">
        <v>11653</v>
      </c>
      <c r="V909" t="s">
        <v>11654</v>
      </c>
      <c r="W909" t="s">
        <v>11655</v>
      </c>
      <c r="X909" t="s">
        <v>11656</v>
      </c>
      <c r="Y909" t="s">
        <v>11657</v>
      </c>
      <c r="Z909" t="s">
        <v>11658</v>
      </c>
      <c r="AA909" t="s">
        <v>11659</v>
      </c>
      <c r="AB909" t="s">
        <v>11660</v>
      </c>
      <c r="AC909" t="s">
        <v>74</v>
      </c>
      <c r="AD909" t="s">
        <v>74</v>
      </c>
      <c r="AE909" t="s">
        <v>74</v>
      </c>
      <c r="AF909" t="s">
        <v>74</v>
      </c>
      <c r="AG909">
        <v>9</v>
      </c>
      <c r="AH909">
        <v>15</v>
      </c>
      <c r="AI909">
        <v>20</v>
      </c>
      <c r="AJ909">
        <v>2</v>
      </c>
      <c r="AK909">
        <v>8</v>
      </c>
      <c r="AL909" t="s">
        <v>275</v>
      </c>
      <c r="AM909" t="s">
        <v>276</v>
      </c>
      <c r="AN909" t="s">
        <v>277</v>
      </c>
      <c r="AO909" t="s">
        <v>11661</v>
      </c>
      <c r="AP909" t="s">
        <v>11662</v>
      </c>
      <c r="AQ909" t="s">
        <v>74</v>
      </c>
      <c r="AR909" t="s">
        <v>11663</v>
      </c>
      <c r="AS909" t="s">
        <v>11664</v>
      </c>
      <c r="AT909" t="s">
        <v>11665</v>
      </c>
      <c r="AU909">
        <v>1999</v>
      </c>
      <c r="AV909">
        <v>9</v>
      </c>
      <c r="AW909">
        <v>1</v>
      </c>
      <c r="AX909" t="s">
        <v>74</v>
      </c>
      <c r="AY909" t="s">
        <v>74</v>
      </c>
      <c r="AZ909" t="s">
        <v>74</v>
      </c>
      <c r="BA909" t="s">
        <v>74</v>
      </c>
      <c r="BB909">
        <v>65</v>
      </c>
      <c r="BC909">
        <v>68</v>
      </c>
      <c r="BD909" t="s">
        <v>74</v>
      </c>
      <c r="BE909" t="s">
        <v>11666</v>
      </c>
      <c r="BF909" t="str">
        <f>HYPERLINK("http://dx.doi.org/10.1016/S0960-894X(98)00678-7","http://dx.doi.org/10.1016/S0960-894X(98)00678-7")</f>
        <v>http://dx.doi.org/10.1016/S0960-894X(98)00678-7</v>
      </c>
      <c r="BG909" t="s">
        <v>74</v>
      </c>
      <c r="BH909" t="s">
        <v>74</v>
      </c>
      <c r="BI909">
        <v>4</v>
      </c>
      <c r="BJ909" t="s">
        <v>11667</v>
      </c>
      <c r="BK909" t="s">
        <v>96</v>
      </c>
      <c r="BL909" t="s">
        <v>11668</v>
      </c>
      <c r="BM909" t="s">
        <v>11669</v>
      </c>
      <c r="BN909">
        <v>9990458</v>
      </c>
      <c r="BO909" t="s">
        <v>74</v>
      </c>
      <c r="BP909" t="s">
        <v>74</v>
      </c>
      <c r="BQ909" t="s">
        <v>74</v>
      </c>
      <c r="BR909" t="s">
        <v>99</v>
      </c>
      <c r="BS909" t="s">
        <v>11670</v>
      </c>
      <c r="BT909" t="str">
        <f>HYPERLINK("https%3A%2F%2Fwww.webofscience.com%2Fwos%2Fwoscc%2Ffull-record%2FWOS:000077944700013","View Full Record in Web of Science")</f>
        <v>View Full Record in Web of Science</v>
      </c>
    </row>
    <row r="910" spans="1:72" x14ac:dyDescent="0.15">
      <c r="A910" t="s">
        <v>11671</v>
      </c>
      <c r="B910" t="s">
        <v>11672</v>
      </c>
      <c r="C910" t="s">
        <v>74</v>
      </c>
      <c r="D910" t="s">
        <v>11673</v>
      </c>
      <c r="E910" t="s">
        <v>74</v>
      </c>
      <c r="F910" t="s">
        <v>11672</v>
      </c>
      <c r="G910" t="s">
        <v>74</v>
      </c>
      <c r="H910" t="s">
        <v>74</v>
      </c>
      <c r="I910" t="s">
        <v>11674</v>
      </c>
      <c r="J910" t="s">
        <v>11675</v>
      </c>
      <c r="K910" t="s">
        <v>11676</v>
      </c>
      <c r="L910" t="s">
        <v>74</v>
      </c>
      <c r="M910" t="s">
        <v>77</v>
      </c>
      <c r="N910" t="s">
        <v>11677</v>
      </c>
      <c r="O910" t="s">
        <v>11678</v>
      </c>
      <c r="P910" t="s">
        <v>11679</v>
      </c>
      <c r="Q910" t="s">
        <v>11680</v>
      </c>
      <c r="R910" t="s">
        <v>74</v>
      </c>
      <c r="S910" t="s">
        <v>74</v>
      </c>
      <c r="T910" t="s">
        <v>74</v>
      </c>
      <c r="U910" t="s">
        <v>74</v>
      </c>
      <c r="V910" t="s">
        <v>11681</v>
      </c>
      <c r="W910" t="s">
        <v>11682</v>
      </c>
      <c r="X910" t="s">
        <v>74</v>
      </c>
      <c r="Y910" t="s">
        <v>11683</v>
      </c>
      <c r="Z910" t="s">
        <v>74</v>
      </c>
      <c r="AA910" t="s">
        <v>74</v>
      </c>
      <c r="AB910" t="s">
        <v>74</v>
      </c>
      <c r="AC910" t="s">
        <v>74</v>
      </c>
      <c r="AD910" t="s">
        <v>74</v>
      </c>
      <c r="AE910" t="s">
        <v>74</v>
      </c>
      <c r="AF910" t="s">
        <v>74</v>
      </c>
      <c r="AG910">
        <v>4</v>
      </c>
      <c r="AH910">
        <v>0</v>
      </c>
      <c r="AI910">
        <v>0</v>
      </c>
      <c r="AJ910">
        <v>0</v>
      </c>
      <c r="AK910">
        <v>0</v>
      </c>
      <c r="AL910" t="s">
        <v>11684</v>
      </c>
      <c r="AM910" t="s">
        <v>11685</v>
      </c>
      <c r="AN910" t="s">
        <v>11686</v>
      </c>
      <c r="AO910" t="s">
        <v>11687</v>
      </c>
      <c r="AP910" t="s">
        <v>74</v>
      </c>
      <c r="AQ910" t="s">
        <v>11688</v>
      </c>
      <c r="AR910" t="s">
        <v>11689</v>
      </c>
      <c r="AS910" t="s">
        <v>74</v>
      </c>
      <c r="AT910" t="s">
        <v>74</v>
      </c>
      <c r="AU910">
        <v>1999</v>
      </c>
      <c r="AV910">
        <v>437</v>
      </c>
      <c r="AW910" t="s">
        <v>74</v>
      </c>
      <c r="AX910" t="s">
        <v>74</v>
      </c>
      <c r="AY910" t="s">
        <v>74</v>
      </c>
      <c r="AZ910" t="s">
        <v>74</v>
      </c>
      <c r="BA910" t="s">
        <v>74</v>
      </c>
      <c r="BB910">
        <v>105</v>
      </c>
      <c r="BC910">
        <v>110</v>
      </c>
      <c r="BD910" t="s">
        <v>74</v>
      </c>
      <c r="BE910" t="s">
        <v>74</v>
      </c>
      <c r="BF910" t="s">
        <v>74</v>
      </c>
      <c r="BG910" t="s">
        <v>74</v>
      </c>
      <c r="BH910" t="s">
        <v>74</v>
      </c>
      <c r="BI910">
        <v>6</v>
      </c>
      <c r="BJ910" t="s">
        <v>11690</v>
      </c>
      <c r="BK910" t="s">
        <v>11691</v>
      </c>
      <c r="BL910" t="s">
        <v>11692</v>
      </c>
      <c r="BM910" t="s">
        <v>11693</v>
      </c>
      <c r="BN910" t="s">
        <v>74</v>
      </c>
      <c r="BO910" t="s">
        <v>74</v>
      </c>
      <c r="BP910" t="s">
        <v>74</v>
      </c>
      <c r="BQ910" t="s">
        <v>74</v>
      </c>
      <c r="BR910" t="s">
        <v>99</v>
      </c>
      <c r="BS910" t="s">
        <v>11694</v>
      </c>
      <c r="BT910" t="str">
        <f>HYPERLINK("https%3A%2F%2Fwww.webofscience.com%2Fwos%2Fwoscc%2Ffull-record%2FWOS:000084659100013","View Full Record in Web of Science")</f>
        <v>View Full Record in Web of Science</v>
      </c>
    </row>
    <row r="911" spans="1:72" x14ac:dyDescent="0.15">
      <c r="A911" t="s">
        <v>11671</v>
      </c>
      <c r="B911" t="s">
        <v>11695</v>
      </c>
      <c r="C911" t="s">
        <v>74</v>
      </c>
      <c r="D911" t="s">
        <v>11673</v>
      </c>
      <c r="E911" t="s">
        <v>74</v>
      </c>
      <c r="F911" t="s">
        <v>11695</v>
      </c>
      <c r="G911" t="s">
        <v>74</v>
      </c>
      <c r="H911" t="s">
        <v>74</v>
      </c>
      <c r="I911" t="s">
        <v>11696</v>
      </c>
      <c r="J911" t="s">
        <v>11675</v>
      </c>
      <c r="K911" t="s">
        <v>11676</v>
      </c>
      <c r="L911" t="s">
        <v>74</v>
      </c>
      <c r="M911" t="s">
        <v>77</v>
      </c>
      <c r="N911" t="s">
        <v>11677</v>
      </c>
      <c r="O911" t="s">
        <v>11678</v>
      </c>
      <c r="P911" t="s">
        <v>11679</v>
      </c>
      <c r="Q911" t="s">
        <v>11680</v>
      </c>
      <c r="R911" t="s">
        <v>74</v>
      </c>
      <c r="S911" t="s">
        <v>74</v>
      </c>
      <c r="T911" t="s">
        <v>11697</v>
      </c>
      <c r="U911" t="s">
        <v>74</v>
      </c>
      <c r="V911" t="s">
        <v>11698</v>
      </c>
      <c r="W911" t="s">
        <v>11699</v>
      </c>
      <c r="X911" t="s">
        <v>11700</v>
      </c>
      <c r="Y911" t="s">
        <v>11701</v>
      </c>
      <c r="Z911" t="s">
        <v>74</v>
      </c>
      <c r="AA911" t="s">
        <v>11702</v>
      </c>
      <c r="AB911" t="s">
        <v>74</v>
      </c>
      <c r="AC911" t="s">
        <v>74</v>
      </c>
      <c r="AD911" t="s">
        <v>74</v>
      </c>
      <c r="AE911" t="s">
        <v>74</v>
      </c>
      <c r="AF911" t="s">
        <v>74</v>
      </c>
      <c r="AG911">
        <v>5</v>
      </c>
      <c r="AH911">
        <v>1</v>
      </c>
      <c r="AI911">
        <v>1</v>
      </c>
      <c r="AJ911">
        <v>0</v>
      </c>
      <c r="AK911">
        <v>2</v>
      </c>
      <c r="AL911" t="s">
        <v>11684</v>
      </c>
      <c r="AM911" t="s">
        <v>11685</v>
      </c>
      <c r="AN911" t="s">
        <v>11686</v>
      </c>
      <c r="AO911" t="s">
        <v>11687</v>
      </c>
      <c r="AP911" t="s">
        <v>74</v>
      </c>
      <c r="AQ911" t="s">
        <v>11688</v>
      </c>
      <c r="AR911" t="s">
        <v>11689</v>
      </c>
      <c r="AS911" t="s">
        <v>74</v>
      </c>
      <c r="AT911" t="s">
        <v>74</v>
      </c>
      <c r="AU911">
        <v>1999</v>
      </c>
      <c r="AV911">
        <v>437</v>
      </c>
      <c r="AW911" t="s">
        <v>74</v>
      </c>
      <c r="AX911" t="s">
        <v>74</v>
      </c>
      <c r="AY911" t="s">
        <v>74</v>
      </c>
      <c r="AZ911" t="s">
        <v>74</v>
      </c>
      <c r="BA911" t="s">
        <v>74</v>
      </c>
      <c r="BB911">
        <v>161</v>
      </c>
      <c r="BC911">
        <v>166</v>
      </c>
      <c r="BD911" t="s">
        <v>74</v>
      </c>
      <c r="BE911" t="s">
        <v>74</v>
      </c>
      <c r="BF911" t="s">
        <v>74</v>
      </c>
      <c r="BG911" t="s">
        <v>74</v>
      </c>
      <c r="BH911" t="s">
        <v>74</v>
      </c>
      <c r="BI911">
        <v>6</v>
      </c>
      <c r="BJ911" t="s">
        <v>11690</v>
      </c>
      <c r="BK911" t="s">
        <v>11691</v>
      </c>
      <c r="BL911" t="s">
        <v>11692</v>
      </c>
      <c r="BM911" t="s">
        <v>11693</v>
      </c>
      <c r="BN911" t="s">
        <v>74</v>
      </c>
      <c r="BO911" t="s">
        <v>74</v>
      </c>
      <c r="BP911" t="s">
        <v>74</v>
      </c>
      <c r="BQ911" t="s">
        <v>74</v>
      </c>
      <c r="BR911" t="s">
        <v>99</v>
      </c>
      <c r="BS911" t="s">
        <v>11703</v>
      </c>
      <c r="BT911" t="str">
        <f>HYPERLINK("https%3A%2F%2Fwww.webofscience.com%2Fwos%2Fwoscc%2Ffull-record%2FWOS:000084659100022","View Full Record in Web of Science")</f>
        <v>View Full Record in Web of Science</v>
      </c>
    </row>
    <row r="912" spans="1:72" x14ac:dyDescent="0.15">
      <c r="A912" t="s">
        <v>11671</v>
      </c>
      <c r="B912" t="s">
        <v>11704</v>
      </c>
      <c r="C912" t="s">
        <v>74</v>
      </c>
      <c r="D912" t="s">
        <v>11673</v>
      </c>
      <c r="E912" t="s">
        <v>74</v>
      </c>
      <c r="F912" t="s">
        <v>11704</v>
      </c>
      <c r="G912" t="s">
        <v>74</v>
      </c>
      <c r="H912" t="s">
        <v>11705</v>
      </c>
      <c r="I912" t="s">
        <v>11706</v>
      </c>
      <c r="J912" t="s">
        <v>11675</v>
      </c>
      <c r="K912" t="s">
        <v>11676</v>
      </c>
      <c r="L912" t="s">
        <v>74</v>
      </c>
      <c r="M912" t="s">
        <v>77</v>
      </c>
      <c r="N912" t="s">
        <v>11677</v>
      </c>
      <c r="O912" t="s">
        <v>11678</v>
      </c>
      <c r="P912" t="s">
        <v>11679</v>
      </c>
      <c r="Q912" t="s">
        <v>11680</v>
      </c>
      <c r="R912" t="s">
        <v>74</v>
      </c>
      <c r="S912" t="s">
        <v>74</v>
      </c>
      <c r="T912" t="s">
        <v>11707</v>
      </c>
      <c r="U912" t="s">
        <v>11708</v>
      </c>
      <c r="V912" t="s">
        <v>11709</v>
      </c>
      <c r="W912" t="s">
        <v>11710</v>
      </c>
      <c r="X912" t="s">
        <v>3951</v>
      </c>
      <c r="Y912" t="s">
        <v>11711</v>
      </c>
      <c r="Z912" t="s">
        <v>74</v>
      </c>
      <c r="AA912" t="s">
        <v>74</v>
      </c>
      <c r="AB912" t="s">
        <v>74</v>
      </c>
      <c r="AC912" t="s">
        <v>74</v>
      </c>
      <c r="AD912" t="s">
        <v>74</v>
      </c>
      <c r="AE912" t="s">
        <v>74</v>
      </c>
      <c r="AF912" t="s">
        <v>74</v>
      </c>
      <c r="AG912">
        <v>8</v>
      </c>
      <c r="AH912">
        <v>0</v>
      </c>
      <c r="AI912">
        <v>0</v>
      </c>
      <c r="AJ912">
        <v>0</v>
      </c>
      <c r="AK912">
        <v>0</v>
      </c>
      <c r="AL912" t="s">
        <v>11684</v>
      </c>
      <c r="AM912" t="s">
        <v>11685</v>
      </c>
      <c r="AN912" t="s">
        <v>11686</v>
      </c>
      <c r="AO912" t="s">
        <v>11687</v>
      </c>
      <c r="AP912" t="s">
        <v>74</v>
      </c>
      <c r="AQ912" t="s">
        <v>11688</v>
      </c>
      <c r="AR912" t="s">
        <v>11689</v>
      </c>
      <c r="AS912" t="s">
        <v>74</v>
      </c>
      <c r="AT912" t="s">
        <v>74</v>
      </c>
      <c r="AU912">
        <v>1999</v>
      </c>
      <c r="AV912">
        <v>437</v>
      </c>
      <c r="AW912" t="s">
        <v>74</v>
      </c>
      <c r="AX912" t="s">
        <v>74</v>
      </c>
      <c r="AY912" t="s">
        <v>74</v>
      </c>
      <c r="AZ912" t="s">
        <v>74</v>
      </c>
      <c r="BA912" t="s">
        <v>74</v>
      </c>
      <c r="BB912">
        <v>599</v>
      </c>
      <c r="BC912">
        <v>602</v>
      </c>
      <c r="BD912" t="s">
        <v>74</v>
      </c>
      <c r="BE912" t="s">
        <v>74</v>
      </c>
      <c r="BF912" t="s">
        <v>74</v>
      </c>
      <c r="BG912" t="s">
        <v>74</v>
      </c>
      <c r="BH912" t="s">
        <v>74</v>
      </c>
      <c r="BI912">
        <v>4</v>
      </c>
      <c r="BJ912" t="s">
        <v>11690</v>
      </c>
      <c r="BK912" t="s">
        <v>11691</v>
      </c>
      <c r="BL912" t="s">
        <v>11692</v>
      </c>
      <c r="BM912" t="s">
        <v>11693</v>
      </c>
      <c r="BN912" t="s">
        <v>74</v>
      </c>
      <c r="BO912" t="s">
        <v>74</v>
      </c>
      <c r="BP912" t="s">
        <v>74</v>
      </c>
      <c r="BQ912" t="s">
        <v>74</v>
      </c>
      <c r="BR912" t="s">
        <v>99</v>
      </c>
      <c r="BS912" t="s">
        <v>11712</v>
      </c>
      <c r="BT912" t="str">
        <f>HYPERLINK("https%3A%2F%2Fwww.webofscience.com%2Fwos%2Fwoscc%2Ffull-record%2FWOS:000084659100089","View Full Record in Web of Science")</f>
        <v>View Full Record in Web of Science</v>
      </c>
    </row>
    <row r="913" spans="1:72" x14ac:dyDescent="0.15">
      <c r="A913" t="s">
        <v>72</v>
      </c>
      <c r="B913" t="s">
        <v>11713</v>
      </c>
      <c r="C913" t="s">
        <v>74</v>
      </c>
      <c r="D913" t="s">
        <v>74</v>
      </c>
      <c r="E913" t="s">
        <v>74</v>
      </c>
      <c r="F913" t="s">
        <v>11714</v>
      </c>
      <c r="G913" t="s">
        <v>74</v>
      </c>
      <c r="H913" t="s">
        <v>74</v>
      </c>
      <c r="I913" t="s">
        <v>11715</v>
      </c>
      <c r="J913" t="s">
        <v>11716</v>
      </c>
      <c r="K913" t="s">
        <v>74</v>
      </c>
      <c r="L913" t="s">
        <v>74</v>
      </c>
      <c r="M913" t="s">
        <v>77</v>
      </c>
      <c r="N913" t="s">
        <v>52</v>
      </c>
      <c r="O913" t="s">
        <v>74</v>
      </c>
      <c r="P913" t="s">
        <v>74</v>
      </c>
      <c r="Q913" t="s">
        <v>74</v>
      </c>
      <c r="R913" t="s">
        <v>74</v>
      </c>
      <c r="S913" t="s">
        <v>74</v>
      </c>
      <c r="T913" t="s">
        <v>74</v>
      </c>
      <c r="U913" t="s">
        <v>74</v>
      </c>
      <c r="V913" t="s">
        <v>74</v>
      </c>
      <c r="W913" t="s">
        <v>11717</v>
      </c>
      <c r="X913" t="s">
        <v>11718</v>
      </c>
      <c r="Y913" t="s">
        <v>74</v>
      </c>
      <c r="Z913" t="s">
        <v>74</v>
      </c>
      <c r="AA913" t="s">
        <v>74</v>
      </c>
      <c r="AB913" t="s">
        <v>74</v>
      </c>
      <c r="AC913" t="s">
        <v>74</v>
      </c>
      <c r="AD913" t="s">
        <v>74</v>
      </c>
      <c r="AE913" t="s">
        <v>74</v>
      </c>
      <c r="AF913" t="s">
        <v>74</v>
      </c>
      <c r="AG913">
        <v>1</v>
      </c>
      <c r="AH913">
        <v>0</v>
      </c>
      <c r="AI913">
        <v>0</v>
      </c>
      <c r="AJ913">
        <v>0</v>
      </c>
      <c r="AK913">
        <v>0</v>
      </c>
      <c r="AL913" t="s">
        <v>11719</v>
      </c>
      <c r="AM913" t="s">
        <v>11720</v>
      </c>
      <c r="AN913" t="s">
        <v>11721</v>
      </c>
      <c r="AO913" t="s">
        <v>11722</v>
      </c>
      <c r="AP913" t="s">
        <v>74</v>
      </c>
      <c r="AQ913" t="s">
        <v>74</v>
      </c>
      <c r="AR913" t="s">
        <v>11723</v>
      </c>
      <c r="AS913" t="s">
        <v>11724</v>
      </c>
      <c r="AT913" t="s">
        <v>74</v>
      </c>
      <c r="AU913">
        <v>1999</v>
      </c>
      <c r="AV913">
        <v>55</v>
      </c>
      <c r="AW913" t="s">
        <v>74</v>
      </c>
      <c r="AX913" t="s">
        <v>74</v>
      </c>
      <c r="AY913" t="s">
        <v>1295</v>
      </c>
      <c r="AZ913" t="s">
        <v>74</v>
      </c>
      <c r="BA913" t="s">
        <v>11725</v>
      </c>
      <c r="BB913">
        <v>448</v>
      </c>
      <c r="BC913">
        <v>448</v>
      </c>
      <c r="BD913" t="s">
        <v>74</v>
      </c>
      <c r="BE913" t="s">
        <v>74</v>
      </c>
      <c r="BF913" t="s">
        <v>74</v>
      </c>
      <c r="BG913" t="s">
        <v>74</v>
      </c>
      <c r="BH913" t="s">
        <v>74</v>
      </c>
      <c r="BI913">
        <v>1</v>
      </c>
      <c r="BJ913" t="s">
        <v>11726</v>
      </c>
      <c r="BK913" t="s">
        <v>96</v>
      </c>
      <c r="BL913" t="s">
        <v>11727</v>
      </c>
      <c r="BM913" t="s">
        <v>11728</v>
      </c>
      <c r="BN913" t="s">
        <v>74</v>
      </c>
      <c r="BO913" t="s">
        <v>74</v>
      </c>
      <c r="BP913" t="s">
        <v>74</v>
      </c>
      <c r="BQ913" t="s">
        <v>74</v>
      </c>
      <c r="BR913" t="s">
        <v>99</v>
      </c>
      <c r="BS913" t="s">
        <v>11729</v>
      </c>
      <c r="BT913" t="str">
        <f>HYPERLINK("https%3A%2F%2Fwww.webofscience.com%2Fwos%2Fwoscc%2Ffull-record%2FWOS:000475706304159","View Full Record in Web of Science")</f>
        <v>View Full Record in Web of Science</v>
      </c>
    </row>
    <row r="914" spans="1:72" x14ac:dyDescent="0.15">
      <c r="A914" t="s">
        <v>11671</v>
      </c>
      <c r="B914" t="s">
        <v>11730</v>
      </c>
      <c r="C914" t="s">
        <v>74</v>
      </c>
      <c r="D914" t="s">
        <v>11731</v>
      </c>
      <c r="E914" t="s">
        <v>74</v>
      </c>
      <c r="F914" t="s">
        <v>11730</v>
      </c>
      <c r="G914" t="s">
        <v>74</v>
      </c>
      <c r="H914" t="s">
        <v>74</v>
      </c>
      <c r="I914" t="s">
        <v>11732</v>
      </c>
      <c r="J914" t="s">
        <v>11733</v>
      </c>
      <c r="K914" t="s">
        <v>11734</v>
      </c>
      <c r="L914" t="s">
        <v>74</v>
      </c>
      <c r="M914" t="s">
        <v>77</v>
      </c>
      <c r="N914" t="s">
        <v>11677</v>
      </c>
      <c r="O914" t="s">
        <v>11735</v>
      </c>
      <c r="P914" t="s">
        <v>11736</v>
      </c>
      <c r="Q914" t="s">
        <v>11737</v>
      </c>
      <c r="R914" t="s">
        <v>74</v>
      </c>
      <c r="S914" t="s">
        <v>11738</v>
      </c>
      <c r="T914" t="s">
        <v>74</v>
      </c>
      <c r="U914" t="s">
        <v>11739</v>
      </c>
      <c r="V914" t="s">
        <v>11740</v>
      </c>
      <c r="W914" t="s">
        <v>11741</v>
      </c>
      <c r="X914" t="s">
        <v>74</v>
      </c>
      <c r="Y914" t="s">
        <v>11742</v>
      </c>
      <c r="Z914" t="s">
        <v>74</v>
      </c>
      <c r="AA914" t="s">
        <v>11743</v>
      </c>
      <c r="AB914" t="s">
        <v>11744</v>
      </c>
      <c r="AC914" t="s">
        <v>74</v>
      </c>
      <c r="AD914" t="s">
        <v>74</v>
      </c>
      <c r="AE914" t="s">
        <v>74</v>
      </c>
      <c r="AF914" t="s">
        <v>74</v>
      </c>
      <c r="AG914">
        <v>32</v>
      </c>
      <c r="AH914">
        <v>12</v>
      </c>
      <c r="AI914">
        <v>12</v>
      </c>
      <c r="AJ914">
        <v>0</v>
      </c>
      <c r="AK914">
        <v>2</v>
      </c>
      <c r="AL914" t="s">
        <v>11745</v>
      </c>
      <c r="AM914" t="s">
        <v>2206</v>
      </c>
      <c r="AN914" t="s">
        <v>11746</v>
      </c>
      <c r="AO914" t="s">
        <v>11747</v>
      </c>
      <c r="AP914" t="s">
        <v>11748</v>
      </c>
      <c r="AQ914" t="s">
        <v>11749</v>
      </c>
      <c r="AR914" t="s">
        <v>11750</v>
      </c>
      <c r="AS914" t="s">
        <v>74</v>
      </c>
      <c r="AT914" t="s">
        <v>74</v>
      </c>
      <c r="AU914">
        <v>1999</v>
      </c>
      <c r="AV914">
        <v>533</v>
      </c>
      <c r="AW914" t="s">
        <v>74</v>
      </c>
      <c r="AX914" t="s">
        <v>74</v>
      </c>
      <c r="AY914" t="s">
        <v>74</v>
      </c>
      <c r="AZ914" t="s">
        <v>74</v>
      </c>
      <c r="BA914" t="s">
        <v>74</v>
      </c>
      <c r="BB914">
        <v>259</v>
      </c>
      <c r="BC914">
        <v>270</v>
      </c>
      <c r="BD914" t="s">
        <v>74</v>
      </c>
      <c r="BE914" t="s">
        <v>74</v>
      </c>
      <c r="BF914" t="s">
        <v>74</v>
      </c>
      <c r="BG914" t="s">
        <v>74</v>
      </c>
      <c r="BH914" t="s">
        <v>74</v>
      </c>
      <c r="BI914">
        <v>12</v>
      </c>
      <c r="BJ914" t="s">
        <v>11751</v>
      </c>
      <c r="BK914" t="s">
        <v>11691</v>
      </c>
      <c r="BL914" t="s">
        <v>11752</v>
      </c>
      <c r="BM914" t="s">
        <v>11753</v>
      </c>
      <c r="BN914" t="s">
        <v>74</v>
      </c>
      <c r="BO914" t="s">
        <v>74</v>
      </c>
      <c r="BP914" t="s">
        <v>74</v>
      </c>
      <c r="BQ914" t="s">
        <v>74</v>
      </c>
      <c r="BR914" t="s">
        <v>99</v>
      </c>
      <c r="BS914" t="s">
        <v>11754</v>
      </c>
      <c r="BT914" t="str">
        <f>HYPERLINK("https%3A%2F%2Fwww.webofscience.com%2Fwos%2Fwoscc%2Ffull-record%2FWOS:000087263600022","View Full Record in Web of Science")</f>
        <v>View Full Record in Web of Science</v>
      </c>
    </row>
    <row r="915" spans="1:72" x14ac:dyDescent="0.15">
      <c r="A915" t="s">
        <v>11671</v>
      </c>
      <c r="B915" t="s">
        <v>11755</v>
      </c>
      <c r="C915" t="s">
        <v>74</v>
      </c>
      <c r="D915" t="s">
        <v>11731</v>
      </c>
      <c r="E915" t="s">
        <v>74</v>
      </c>
      <c r="F915" t="s">
        <v>11755</v>
      </c>
      <c r="G915" t="s">
        <v>74</v>
      </c>
      <c r="H915" t="s">
        <v>74</v>
      </c>
      <c r="I915" t="s">
        <v>11756</v>
      </c>
      <c r="J915" t="s">
        <v>11733</v>
      </c>
      <c r="K915" t="s">
        <v>11734</v>
      </c>
      <c r="L915" t="s">
        <v>74</v>
      </c>
      <c r="M915" t="s">
        <v>77</v>
      </c>
      <c r="N915" t="s">
        <v>11677</v>
      </c>
      <c r="O915" t="s">
        <v>11735</v>
      </c>
      <c r="P915" t="s">
        <v>11736</v>
      </c>
      <c r="Q915" t="s">
        <v>11737</v>
      </c>
      <c r="R915" t="s">
        <v>74</v>
      </c>
      <c r="S915" t="s">
        <v>11738</v>
      </c>
      <c r="T915" t="s">
        <v>74</v>
      </c>
      <c r="U915" t="s">
        <v>3389</v>
      </c>
      <c r="V915" t="s">
        <v>11757</v>
      </c>
      <c r="W915" t="s">
        <v>11758</v>
      </c>
      <c r="X915" t="s">
        <v>11759</v>
      </c>
      <c r="Y915" t="s">
        <v>11760</v>
      </c>
      <c r="Z915" t="s">
        <v>74</v>
      </c>
      <c r="AA915" t="s">
        <v>11761</v>
      </c>
      <c r="AB915" t="s">
        <v>74</v>
      </c>
      <c r="AC915" t="s">
        <v>74</v>
      </c>
      <c r="AD915" t="s">
        <v>74</v>
      </c>
      <c r="AE915" t="s">
        <v>74</v>
      </c>
      <c r="AF915" t="s">
        <v>74</v>
      </c>
      <c r="AG915">
        <v>22</v>
      </c>
      <c r="AH915">
        <v>4</v>
      </c>
      <c r="AI915">
        <v>4</v>
      </c>
      <c r="AJ915">
        <v>0</v>
      </c>
      <c r="AK915">
        <v>1</v>
      </c>
      <c r="AL915" t="s">
        <v>11745</v>
      </c>
      <c r="AM915" t="s">
        <v>2206</v>
      </c>
      <c r="AN915" t="s">
        <v>11746</v>
      </c>
      <c r="AO915" t="s">
        <v>11747</v>
      </c>
      <c r="AP915" t="s">
        <v>74</v>
      </c>
      <c r="AQ915" t="s">
        <v>11749</v>
      </c>
      <c r="AR915" t="s">
        <v>11750</v>
      </c>
      <c r="AS915" t="s">
        <v>74</v>
      </c>
      <c r="AT915" t="s">
        <v>74</v>
      </c>
      <c r="AU915">
        <v>1999</v>
      </c>
      <c r="AV915">
        <v>533</v>
      </c>
      <c r="AW915" t="s">
        <v>74</v>
      </c>
      <c r="AX915" t="s">
        <v>74</v>
      </c>
      <c r="AY915" t="s">
        <v>74</v>
      </c>
      <c r="AZ915" t="s">
        <v>74</v>
      </c>
      <c r="BA915" t="s">
        <v>74</v>
      </c>
      <c r="BB915">
        <v>307</v>
      </c>
      <c r="BC915">
        <v>318</v>
      </c>
      <c r="BD915" t="s">
        <v>74</v>
      </c>
      <c r="BE915" t="s">
        <v>74</v>
      </c>
      <c r="BF915" t="s">
        <v>74</v>
      </c>
      <c r="BG915" t="s">
        <v>74</v>
      </c>
      <c r="BH915" t="s">
        <v>74</v>
      </c>
      <c r="BI915">
        <v>12</v>
      </c>
      <c r="BJ915" t="s">
        <v>11751</v>
      </c>
      <c r="BK915" t="s">
        <v>11691</v>
      </c>
      <c r="BL915" t="s">
        <v>11752</v>
      </c>
      <c r="BM915" t="s">
        <v>11753</v>
      </c>
      <c r="BN915" t="s">
        <v>74</v>
      </c>
      <c r="BO915" t="s">
        <v>74</v>
      </c>
      <c r="BP915" t="s">
        <v>74</v>
      </c>
      <c r="BQ915" t="s">
        <v>74</v>
      </c>
      <c r="BR915" t="s">
        <v>99</v>
      </c>
      <c r="BS915" t="s">
        <v>11762</v>
      </c>
      <c r="BT915" t="str">
        <f>HYPERLINK("https%3A%2F%2Fwww.webofscience.com%2Fwos%2Fwoscc%2Ffull-record%2FWOS:000087263600025","View Full Record in Web of Science")</f>
        <v>View Full Record in Web of Science</v>
      </c>
    </row>
    <row r="916" spans="1:72" x14ac:dyDescent="0.15">
      <c r="A916" t="s">
        <v>11671</v>
      </c>
      <c r="B916" t="s">
        <v>11763</v>
      </c>
      <c r="C916" t="s">
        <v>74</v>
      </c>
      <c r="D916" t="s">
        <v>11764</v>
      </c>
      <c r="E916" t="s">
        <v>74</v>
      </c>
      <c r="F916" t="s">
        <v>11763</v>
      </c>
      <c r="G916" t="s">
        <v>74</v>
      </c>
      <c r="H916" t="s">
        <v>74</v>
      </c>
      <c r="I916" t="s">
        <v>11765</v>
      </c>
      <c r="J916" t="s">
        <v>11766</v>
      </c>
      <c r="K916" t="s">
        <v>74</v>
      </c>
      <c r="L916" t="s">
        <v>74</v>
      </c>
      <c r="M916" t="s">
        <v>77</v>
      </c>
      <c r="N916" t="s">
        <v>11677</v>
      </c>
      <c r="O916" t="s">
        <v>11767</v>
      </c>
      <c r="P916" t="s">
        <v>11768</v>
      </c>
      <c r="Q916" t="s">
        <v>11769</v>
      </c>
      <c r="R916" t="s">
        <v>74</v>
      </c>
      <c r="S916" t="s">
        <v>74</v>
      </c>
      <c r="T916" t="s">
        <v>74</v>
      </c>
      <c r="U916" t="s">
        <v>11770</v>
      </c>
      <c r="V916" t="s">
        <v>11771</v>
      </c>
      <c r="W916" t="s">
        <v>11772</v>
      </c>
      <c r="X916" t="s">
        <v>11773</v>
      </c>
      <c r="Y916" t="s">
        <v>11774</v>
      </c>
      <c r="Z916" t="s">
        <v>74</v>
      </c>
      <c r="AA916" t="s">
        <v>74</v>
      </c>
      <c r="AB916" t="s">
        <v>74</v>
      </c>
      <c r="AC916" t="s">
        <v>74</v>
      </c>
      <c r="AD916" t="s">
        <v>74</v>
      </c>
      <c r="AE916" t="s">
        <v>74</v>
      </c>
      <c r="AF916" t="s">
        <v>74</v>
      </c>
      <c r="AG916">
        <v>75</v>
      </c>
      <c r="AH916">
        <v>15</v>
      </c>
      <c r="AI916">
        <v>16</v>
      </c>
      <c r="AJ916">
        <v>0</v>
      </c>
      <c r="AK916">
        <v>2</v>
      </c>
      <c r="AL916" t="s">
        <v>11775</v>
      </c>
      <c r="AM916" t="s">
        <v>554</v>
      </c>
      <c r="AN916" t="s">
        <v>706</v>
      </c>
      <c r="AO916" t="s">
        <v>74</v>
      </c>
      <c r="AP916" t="s">
        <v>74</v>
      </c>
      <c r="AQ916" t="s">
        <v>11776</v>
      </c>
      <c r="AR916" t="s">
        <v>74</v>
      </c>
      <c r="AS916" t="s">
        <v>74</v>
      </c>
      <c r="AT916" t="s">
        <v>74</v>
      </c>
      <c r="AU916">
        <v>1999</v>
      </c>
      <c r="AV916" t="s">
        <v>74</v>
      </c>
      <c r="AW916" t="s">
        <v>74</v>
      </c>
      <c r="AX916" t="s">
        <v>74</v>
      </c>
      <c r="AY916" t="s">
        <v>74</v>
      </c>
      <c r="AZ916" t="s">
        <v>74</v>
      </c>
      <c r="BA916" t="s">
        <v>74</v>
      </c>
      <c r="BB916">
        <v>419</v>
      </c>
      <c r="BC916">
        <v>436</v>
      </c>
      <c r="BD916" t="s">
        <v>74</v>
      </c>
      <c r="BE916" t="s">
        <v>74</v>
      </c>
      <c r="BF916" t="s">
        <v>74</v>
      </c>
      <c r="BG916" t="s">
        <v>74</v>
      </c>
      <c r="BH916" t="s">
        <v>74</v>
      </c>
      <c r="BI916">
        <v>18</v>
      </c>
      <c r="BJ916" t="s">
        <v>11777</v>
      </c>
      <c r="BK916" t="s">
        <v>11691</v>
      </c>
      <c r="BL916" t="s">
        <v>11777</v>
      </c>
      <c r="BM916" t="s">
        <v>11778</v>
      </c>
      <c r="BN916" t="s">
        <v>74</v>
      </c>
      <c r="BO916" t="s">
        <v>74</v>
      </c>
      <c r="BP916" t="s">
        <v>74</v>
      </c>
      <c r="BQ916" t="s">
        <v>74</v>
      </c>
      <c r="BR916" t="s">
        <v>99</v>
      </c>
      <c r="BS916" t="s">
        <v>11779</v>
      </c>
      <c r="BT916" t="str">
        <f>HYPERLINK("https%3A%2F%2Fwww.webofscience.com%2Fwos%2Fwoscc%2Ffull-record%2FWOS:000085157900029","View Full Record in Web of Science")</f>
        <v>View Full Record in Web of Science</v>
      </c>
    </row>
    <row r="917" spans="1:72" x14ac:dyDescent="0.15">
      <c r="A917" t="s">
        <v>11671</v>
      </c>
      <c r="B917" t="s">
        <v>11780</v>
      </c>
      <c r="C917" t="s">
        <v>74</v>
      </c>
      <c r="D917" t="s">
        <v>11780</v>
      </c>
      <c r="E917" t="s">
        <v>74</v>
      </c>
      <c r="F917" t="s">
        <v>11780</v>
      </c>
      <c r="G917" t="s">
        <v>74</v>
      </c>
      <c r="H917" t="s">
        <v>74</v>
      </c>
      <c r="I917" t="s">
        <v>11781</v>
      </c>
      <c r="J917" t="s">
        <v>11782</v>
      </c>
      <c r="K917" t="s">
        <v>11783</v>
      </c>
      <c r="L917" t="s">
        <v>74</v>
      </c>
      <c r="M917" t="s">
        <v>77</v>
      </c>
      <c r="N917" t="s">
        <v>11677</v>
      </c>
      <c r="O917" t="s">
        <v>11784</v>
      </c>
      <c r="P917" t="s">
        <v>11785</v>
      </c>
      <c r="Q917" t="s">
        <v>11786</v>
      </c>
      <c r="R917" t="s">
        <v>74</v>
      </c>
      <c r="S917" t="s">
        <v>74</v>
      </c>
      <c r="T917" t="s">
        <v>74</v>
      </c>
      <c r="U917" t="s">
        <v>11787</v>
      </c>
      <c r="V917" t="s">
        <v>74</v>
      </c>
      <c r="W917" t="s">
        <v>11788</v>
      </c>
      <c r="X917" t="s">
        <v>11789</v>
      </c>
      <c r="Y917" t="s">
        <v>74</v>
      </c>
      <c r="Z917" t="s">
        <v>74</v>
      </c>
      <c r="AA917" t="s">
        <v>74</v>
      </c>
      <c r="AB917" t="s">
        <v>74</v>
      </c>
      <c r="AC917" t="s">
        <v>74</v>
      </c>
      <c r="AD917" t="s">
        <v>74</v>
      </c>
      <c r="AE917" t="s">
        <v>74</v>
      </c>
      <c r="AF917" t="s">
        <v>74</v>
      </c>
      <c r="AG917">
        <v>1664</v>
      </c>
      <c r="AH917">
        <v>1</v>
      </c>
      <c r="AI917">
        <v>1</v>
      </c>
      <c r="AJ917">
        <v>0</v>
      </c>
      <c r="AK917">
        <v>2</v>
      </c>
      <c r="AL917" t="s">
        <v>1090</v>
      </c>
      <c r="AM917" t="s">
        <v>554</v>
      </c>
      <c r="AN917" t="s">
        <v>11790</v>
      </c>
      <c r="AO917" t="s">
        <v>74</v>
      </c>
      <c r="AP917" t="s">
        <v>74</v>
      </c>
      <c r="AQ917" t="s">
        <v>11791</v>
      </c>
      <c r="AR917" t="s">
        <v>11792</v>
      </c>
      <c r="AS917" t="s">
        <v>74</v>
      </c>
      <c r="AT917" t="s">
        <v>74</v>
      </c>
      <c r="AU917">
        <v>1999</v>
      </c>
      <c r="AV917" t="s">
        <v>74</v>
      </c>
      <c r="AW917" t="s">
        <v>74</v>
      </c>
      <c r="AX917" t="s">
        <v>74</v>
      </c>
      <c r="AY917" t="s">
        <v>74</v>
      </c>
      <c r="AZ917" t="s">
        <v>74</v>
      </c>
      <c r="BA917" t="s">
        <v>74</v>
      </c>
      <c r="BB917">
        <v>3</v>
      </c>
      <c r="BC917" t="s">
        <v>6418</v>
      </c>
      <c r="BD917" t="s">
        <v>74</v>
      </c>
      <c r="BE917" t="s">
        <v>74</v>
      </c>
      <c r="BF917" t="s">
        <v>74</v>
      </c>
      <c r="BG917" t="s">
        <v>74</v>
      </c>
      <c r="BH917" t="s">
        <v>74</v>
      </c>
      <c r="BI917">
        <v>62</v>
      </c>
      <c r="BJ917" t="s">
        <v>11793</v>
      </c>
      <c r="BK917" t="s">
        <v>11794</v>
      </c>
      <c r="BL917" t="s">
        <v>11793</v>
      </c>
      <c r="BM917" t="s">
        <v>11795</v>
      </c>
      <c r="BN917" t="s">
        <v>74</v>
      </c>
      <c r="BO917" t="s">
        <v>74</v>
      </c>
      <c r="BP917" t="s">
        <v>74</v>
      </c>
      <c r="BQ917" t="s">
        <v>74</v>
      </c>
      <c r="BR917" t="s">
        <v>99</v>
      </c>
      <c r="BS917" t="s">
        <v>11796</v>
      </c>
      <c r="BT917" t="str">
        <f>HYPERLINK("https%3A%2F%2Fwww.webofscience.com%2Fwos%2Fwoscc%2Ffull-record%2FWOS:000087779100001","View Full Record in Web of Science")</f>
        <v>View Full Record in Web of Science</v>
      </c>
    </row>
    <row r="918" spans="1:72" x14ac:dyDescent="0.15">
      <c r="A918" t="s">
        <v>72</v>
      </c>
      <c r="B918" t="s">
        <v>11797</v>
      </c>
      <c r="C918" t="s">
        <v>74</v>
      </c>
      <c r="D918" t="s">
        <v>74</v>
      </c>
      <c r="E918" t="s">
        <v>74</v>
      </c>
      <c r="F918" t="s">
        <v>11797</v>
      </c>
      <c r="G918" t="s">
        <v>74</v>
      </c>
      <c r="H918" t="s">
        <v>74</v>
      </c>
      <c r="I918" t="s">
        <v>11798</v>
      </c>
      <c r="J918" t="s">
        <v>11799</v>
      </c>
      <c r="K918" t="s">
        <v>74</v>
      </c>
      <c r="L918" t="s">
        <v>74</v>
      </c>
      <c r="M918" t="s">
        <v>11800</v>
      </c>
      <c r="N918" t="s">
        <v>78</v>
      </c>
      <c r="O918" t="s">
        <v>74</v>
      </c>
      <c r="P918" t="s">
        <v>74</v>
      </c>
      <c r="Q918" t="s">
        <v>74</v>
      </c>
      <c r="R918" t="s">
        <v>74</v>
      </c>
      <c r="S918" t="s">
        <v>74</v>
      </c>
      <c r="T918" t="s">
        <v>11801</v>
      </c>
      <c r="U918" t="s">
        <v>11802</v>
      </c>
      <c r="V918" t="s">
        <v>11803</v>
      </c>
      <c r="W918" t="s">
        <v>11804</v>
      </c>
      <c r="X918" t="s">
        <v>11805</v>
      </c>
      <c r="Y918" t="s">
        <v>11806</v>
      </c>
      <c r="Z918" t="s">
        <v>74</v>
      </c>
      <c r="AA918" t="s">
        <v>74</v>
      </c>
      <c r="AB918" t="s">
        <v>11807</v>
      </c>
      <c r="AC918" t="s">
        <v>74</v>
      </c>
      <c r="AD918" t="s">
        <v>74</v>
      </c>
      <c r="AE918" t="s">
        <v>74</v>
      </c>
      <c r="AF918" t="s">
        <v>74</v>
      </c>
      <c r="AG918">
        <v>58</v>
      </c>
      <c r="AH918">
        <v>31</v>
      </c>
      <c r="AI918">
        <v>33</v>
      </c>
      <c r="AJ918">
        <v>0</v>
      </c>
      <c r="AK918">
        <v>2</v>
      </c>
      <c r="AL918" t="s">
        <v>11808</v>
      </c>
      <c r="AM918" t="s">
        <v>2966</v>
      </c>
      <c r="AN918" t="s">
        <v>11809</v>
      </c>
      <c r="AO918" t="s">
        <v>11810</v>
      </c>
      <c r="AP918" t="s">
        <v>74</v>
      </c>
      <c r="AQ918" t="s">
        <v>74</v>
      </c>
      <c r="AR918" t="s">
        <v>11799</v>
      </c>
      <c r="AS918" t="s">
        <v>11811</v>
      </c>
      <c r="AT918" t="s">
        <v>74</v>
      </c>
      <c r="AU918">
        <v>1999</v>
      </c>
      <c r="AV918">
        <v>36</v>
      </c>
      <c r="AW918">
        <v>1</v>
      </c>
      <c r="AX918" t="s">
        <v>74</v>
      </c>
      <c r="AY918" t="s">
        <v>74</v>
      </c>
      <c r="AZ918" t="s">
        <v>74</v>
      </c>
      <c r="BA918" t="s">
        <v>74</v>
      </c>
      <c r="BB918">
        <v>3</v>
      </c>
      <c r="BC918">
        <v>22</v>
      </c>
      <c r="BD918" t="s">
        <v>74</v>
      </c>
      <c r="BE918" t="s">
        <v>74</v>
      </c>
      <c r="BF918" t="s">
        <v>74</v>
      </c>
      <c r="BG918" t="s">
        <v>74</v>
      </c>
      <c r="BH918" t="s">
        <v>74</v>
      </c>
      <c r="BI918">
        <v>20</v>
      </c>
      <c r="BJ918" t="s">
        <v>1270</v>
      </c>
      <c r="BK918" t="s">
        <v>96</v>
      </c>
      <c r="BL918" t="s">
        <v>1270</v>
      </c>
      <c r="BM918" t="s">
        <v>11812</v>
      </c>
      <c r="BN918" t="s">
        <v>74</v>
      </c>
      <c r="BO918" t="s">
        <v>74</v>
      </c>
      <c r="BP918" t="s">
        <v>74</v>
      </c>
      <c r="BQ918" t="s">
        <v>74</v>
      </c>
      <c r="BR918" t="s">
        <v>99</v>
      </c>
      <c r="BS918" t="s">
        <v>11813</v>
      </c>
      <c r="BT918" t="str">
        <f>HYPERLINK("https%3A%2F%2Fwww.webofscience.com%2Fwos%2Fwoscc%2Ffull-record%2FWOS:000082334100002","View Full Record in Web of Science")</f>
        <v>View Full Record in Web of Science</v>
      </c>
    </row>
    <row r="919" spans="1:72" x14ac:dyDescent="0.15">
      <c r="A919" t="s">
        <v>72</v>
      </c>
      <c r="B919" t="s">
        <v>11814</v>
      </c>
      <c r="C919" t="s">
        <v>74</v>
      </c>
      <c r="D919" t="s">
        <v>74</v>
      </c>
      <c r="E919" t="s">
        <v>74</v>
      </c>
      <c r="F919" t="s">
        <v>11814</v>
      </c>
      <c r="G919" t="s">
        <v>74</v>
      </c>
      <c r="H919" t="s">
        <v>74</v>
      </c>
      <c r="I919" t="s">
        <v>11815</v>
      </c>
      <c r="J919" t="s">
        <v>11816</v>
      </c>
      <c r="K919" t="s">
        <v>74</v>
      </c>
      <c r="L919" t="s">
        <v>74</v>
      </c>
      <c r="M919" t="s">
        <v>77</v>
      </c>
      <c r="N919" t="s">
        <v>52</v>
      </c>
      <c r="O919" t="s">
        <v>74</v>
      </c>
      <c r="P919" t="s">
        <v>74</v>
      </c>
      <c r="Q919" t="s">
        <v>74</v>
      </c>
      <c r="R919" t="s">
        <v>74</v>
      </c>
      <c r="S919" t="s">
        <v>74</v>
      </c>
      <c r="T919" t="s">
        <v>74</v>
      </c>
      <c r="U919" t="s">
        <v>74</v>
      </c>
      <c r="V919" t="s">
        <v>74</v>
      </c>
      <c r="W919" t="s">
        <v>11817</v>
      </c>
      <c r="X919" t="s">
        <v>11818</v>
      </c>
      <c r="Y919" t="s">
        <v>74</v>
      </c>
      <c r="Z919" t="s">
        <v>74</v>
      </c>
      <c r="AA919" t="s">
        <v>11819</v>
      </c>
      <c r="AB919" t="s">
        <v>74</v>
      </c>
      <c r="AC919" t="s">
        <v>74</v>
      </c>
      <c r="AD919" t="s">
        <v>74</v>
      </c>
      <c r="AE919" t="s">
        <v>74</v>
      </c>
      <c r="AF919" t="s">
        <v>74</v>
      </c>
      <c r="AG919">
        <v>0</v>
      </c>
      <c r="AH919">
        <v>0</v>
      </c>
      <c r="AI919">
        <v>0</v>
      </c>
      <c r="AJ919">
        <v>0</v>
      </c>
      <c r="AK919">
        <v>0</v>
      </c>
      <c r="AL919" t="s">
        <v>11820</v>
      </c>
      <c r="AM919" t="s">
        <v>11821</v>
      </c>
      <c r="AN919" t="s">
        <v>11822</v>
      </c>
      <c r="AO919" t="s">
        <v>11823</v>
      </c>
      <c r="AP919" t="s">
        <v>74</v>
      </c>
      <c r="AQ919" t="s">
        <v>74</v>
      </c>
      <c r="AR919" t="s">
        <v>11824</v>
      </c>
      <c r="AS919" t="s">
        <v>11825</v>
      </c>
      <c r="AT919" t="s">
        <v>74</v>
      </c>
      <c r="AU919">
        <v>1999</v>
      </c>
      <c r="AV919">
        <v>39</v>
      </c>
      <c r="AW919">
        <v>5</v>
      </c>
      <c r="AX919" t="s">
        <v>74</v>
      </c>
      <c r="AY919" t="s">
        <v>74</v>
      </c>
      <c r="AZ919" t="s">
        <v>4033</v>
      </c>
      <c r="BA919">
        <v>4</v>
      </c>
      <c r="BB919" t="s">
        <v>11826</v>
      </c>
      <c r="BC919" t="s">
        <v>11826</v>
      </c>
      <c r="BD919" t="s">
        <v>74</v>
      </c>
      <c r="BE919" t="s">
        <v>74</v>
      </c>
      <c r="BF919" t="s">
        <v>74</v>
      </c>
      <c r="BG919" t="s">
        <v>74</v>
      </c>
      <c r="BH919" t="s">
        <v>74</v>
      </c>
      <c r="BI919">
        <v>1</v>
      </c>
      <c r="BJ919" t="s">
        <v>142</v>
      </c>
      <c r="BK919" t="s">
        <v>96</v>
      </c>
      <c r="BL919" t="s">
        <v>142</v>
      </c>
      <c r="BM919" t="s">
        <v>11827</v>
      </c>
      <c r="BN919" t="s">
        <v>74</v>
      </c>
      <c r="BO919" t="s">
        <v>74</v>
      </c>
      <c r="BP919" t="s">
        <v>74</v>
      </c>
      <c r="BQ919" t="s">
        <v>74</v>
      </c>
      <c r="BR919" t="s">
        <v>99</v>
      </c>
      <c r="BS919" t="s">
        <v>11828</v>
      </c>
      <c r="BT919" t="str">
        <f>HYPERLINK("https%3A%2F%2Fwww.webofscience.com%2Fwos%2Fwoscc%2Ffull-record%2FWOS:000085800400005","View Full Record in Web of Science")</f>
        <v>View Full Record in Web of Science</v>
      </c>
    </row>
    <row r="920" spans="1:72" x14ac:dyDescent="0.15">
      <c r="A920" t="s">
        <v>72</v>
      </c>
      <c r="B920" t="s">
        <v>11829</v>
      </c>
      <c r="C920" t="s">
        <v>74</v>
      </c>
      <c r="D920" t="s">
        <v>74</v>
      </c>
      <c r="E920" t="s">
        <v>74</v>
      </c>
      <c r="F920" t="s">
        <v>11829</v>
      </c>
      <c r="G920" t="s">
        <v>74</v>
      </c>
      <c r="H920" t="s">
        <v>74</v>
      </c>
      <c r="I920" t="s">
        <v>11830</v>
      </c>
      <c r="J920" t="s">
        <v>11816</v>
      </c>
      <c r="K920" t="s">
        <v>74</v>
      </c>
      <c r="L920" t="s">
        <v>74</v>
      </c>
      <c r="M920" t="s">
        <v>77</v>
      </c>
      <c r="N920" t="s">
        <v>52</v>
      </c>
      <c r="O920" t="s">
        <v>74</v>
      </c>
      <c r="P920" t="s">
        <v>74</v>
      </c>
      <c r="Q920" t="s">
        <v>74</v>
      </c>
      <c r="R920" t="s">
        <v>74</v>
      </c>
      <c r="S920" t="s">
        <v>74</v>
      </c>
      <c r="T920" t="s">
        <v>74</v>
      </c>
      <c r="U920" t="s">
        <v>74</v>
      </c>
      <c r="V920" t="s">
        <v>74</v>
      </c>
      <c r="W920" t="s">
        <v>11831</v>
      </c>
      <c r="X920" t="s">
        <v>11832</v>
      </c>
      <c r="Y920" t="s">
        <v>74</v>
      </c>
      <c r="Z920" t="s">
        <v>74</v>
      </c>
      <c r="AA920" t="s">
        <v>74</v>
      </c>
      <c r="AB920" t="s">
        <v>74</v>
      </c>
      <c r="AC920" t="s">
        <v>74</v>
      </c>
      <c r="AD920" t="s">
        <v>74</v>
      </c>
      <c r="AE920" t="s">
        <v>74</v>
      </c>
      <c r="AF920" t="s">
        <v>74</v>
      </c>
      <c r="AG920">
        <v>0</v>
      </c>
      <c r="AH920">
        <v>0</v>
      </c>
      <c r="AI920">
        <v>0</v>
      </c>
      <c r="AJ920">
        <v>0</v>
      </c>
      <c r="AK920">
        <v>0</v>
      </c>
      <c r="AL920" t="s">
        <v>11820</v>
      </c>
      <c r="AM920" t="s">
        <v>11821</v>
      </c>
      <c r="AN920" t="s">
        <v>11822</v>
      </c>
      <c r="AO920" t="s">
        <v>11823</v>
      </c>
      <c r="AP920" t="s">
        <v>74</v>
      </c>
      <c r="AQ920" t="s">
        <v>74</v>
      </c>
      <c r="AR920" t="s">
        <v>11824</v>
      </c>
      <c r="AS920" t="s">
        <v>11825</v>
      </c>
      <c r="AT920" t="s">
        <v>74</v>
      </c>
      <c r="AU920">
        <v>1999</v>
      </c>
      <c r="AV920">
        <v>39</v>
      </c>
      <c r="AW920">
        <v>5</v>
      </c>
      <c r="AX920" t="s">
        <v>74</v>
      </c>
      <c r="AY920" t="s">
        <v>74</v>
      </c>
      <c r="AZ920" t="s">
        <v>4033</v>
      </c>
      <c r="BA920">
        <v>3</v>
      </c>
      <c r="BB920" t="s">
        <v>11826</v>
      </c>
      <c r="BC920" t="s">
        <v>11826</v>
      </c>
      <c r="BD920" t="s">
        <v>74</v>
      </c>
      <c r="BE920" t="s">
        <v>74</v>
      </c>
      <c r="BF920" t="s">
        <v>74</v>
      </c>
      <c r="BG920" t="s">
        <v>74</v>
      </c>
      <c r="BH920" t="s">
        <v>74</v>
      </c>
      <c r="BI920">
        <v>1</v>
      </c>
      <c r="BJ920" t="s">
        <v>142</v>
      </c>
      <c r="BK920" t="s">
        <v>96</v>
      </c>
      <c r="BL920" t="s">
        <v>142</v>
      </c>
      <c r="BM920" t="s">
        <v>11827</v>
      </c>
      <c r="BN920" t="s">
        <v>74</v>
      </c>
      <c r="BO920" t="s">
        <v>74</v>
      </c>
      <c r="BP920" t="s">
        <v>74</v>
      </c>
      <c r="BQ920" t="s">
        <v>74</v>
      </c>
      <c r="BR920" t="s">
        <v>99</v>
      </c>
      <c r="BS920" t="s">
        <v>11833</v>
      </c>
      <c r="BT920" t="str">
        <f>HYPERLINK("https%3A%2F%2Fwww.webofscience.com%2Fwos%2Fwoscc%2Ffull-record%2FWOS:000085800400004","View Full Record in Web of Science")</f>
        <v>View Full Record in Web of Science</v>
      </c>
    </row>
    <row r="921" spans="1:72" x14ac:dyDescent="0.15">
      <c r="A921" t="s">
        <v>72</v>
      </c>
      <c r="B921" t="s">
        <v>11834</v>
      </c>
      <c r="C921" t="s">
        <v>74</v>
      </c>
      <c r="D921" t="s">
        <v>74</v>
      </c>
      <c r="E921" t="s">
        <v>74</v>
      </c>
      <c r="F921" t="s">
        <v>11834</v>
      </c>
      <c r="G921" t="s">
        <v>74</v>
      </c>
      <c r="H921" t="s">
        <v>74</v>
      </c>
      <c r="I921" t="s">
        <v>11835</v>
      </c>
      <c r="J921" t="s">
        <v>11816</v>
      </c>
      <c r="K921" t="s">
        <v>74</v>
      </c>
      <c r="L921" t="s">
        <v>74</v>
      </c>
      <c r="M921" t="s">
        <v>77</v>
      </c>
      <c r="N921" t="s">
        <v>52</v>
      </c>
      <c r="O921" t="s">
        <v>74</v>
      </c>
      <c r="P921" t="s">
        <v>74</v>
      </c>
      <c r="Q921" t="s">
        <v>74</v>
      </c>
      <c r="R921" t="s">
        <v>74</v>
      </c>
      <c r="S921" t="s">
        <v>74</v>
      </c>
      <c r="T921" t="s">
        <v>74</v>
      </c>
      <c r="U921" t="s">
        <v>74</v>
      </c>
      <c r="V921" t="s">
        <v>74</v>
      </c>
      <c r="W921" t="s">
        <v>11836</v>
      </c>
      <c r="X921" t="s">
        <v>11837</v>
      </c>
      <c r="Y921" t="s">
        <v>74</v>
      </c>
      <c r="Z921" t="s">
        <v>74</v>
      </c>
      <c r="AA921" t="s">
        <v>74</v>
      </c>
      <c r="AB921" t="s">
        <v>74</v>
      </c>
      <c r="AC921" t="s">
        <v>74</v>
      </c>
      <c r="AD921" t="s">
        <v>74</v>
      </c>
      <c r="AE921" t="s">
        <v>74</v>
      </c>
      <c r="AF921" t="s">
        <v>74</v>
      </c>
      <c r="AG921">
        <v>0</v>
      </c>
      <c r="AH921">
        <v>1</v>
      </c>
      <c r="AI921">
        <v>1</v>
      </c>
      <c r="AJ921">
        <v>0</v>
      </c>
      <c r="AK921">
        <v>1</v>
      </c>
      <c r="AL921" t="s">
        <v>11820</v>
      </c>
      <c r="AM921" t="s">
        <v>11821</v>
      </c>
      <c r="AN921" t="s">
        <v>11822</v>
      </c>
      <c r="AO921" t="s">
        <v>11823</v>
      </c>
      <c r="AP921" t="s">
        <v>74</v>
      </c>
      <c r="AQ921" t="s">
        <v>74</v>
      </c>
      <c r="AR921" t="s">
        <v>11824</v>
      </c>
      <c r="AS921" t="s">
        <v>11825</v>
      </c>
      <c r="AT921" t="s">
        <v>74</v>
      </c>
      <c r="AU921">
        <v>1999</v>
      </c>
      <c r="AV921">
        <v>39</v>
      </c>
      <c r="AW921">
        <v>5</v>
      </c>
      <c r="AX921" t="s">
        <v>74</v>
      </c>
      <c r="AY921" t="s">
        <v>74</v>
      </c>
      <c r="AZ921" t="s">
        <v>4033</v>
      </c>
      <c r="BA921">
        <v>1</v>
      </c>
      <c r="BB921" t="s">
        <v>11826</v>
      </c>
      <c r="BC921" t="s">
        <v>11826</v>
      </c>
      <c r="BD921" t="s">
        <v>74</v>
      </c>
      <c r="BE921" t="s">
        <v>74</v>
      </c>
      <c r="BF921" t="s">
        <v>74</v>
      </c>
      <c r="BG921" t="s">
        <v>74</v>
      </c>
      <c r="BH921" t="s">
        <v>74</v>
      </c>
      <c r="BI921">
        <v>1</v>
      </c>
      <c r="BJ921" t="s">
        <v>142</v>
      </c>
      <c r="BK921" t="s">
        <v>96</v>
      </c>
      <c r="BL921" t="s">
        <v>142</v>
      </c>
      <c r="BM921" t="s">
        <v>11827</v>
      </c>
      <c r="BN921" t="s">
        <v>74</v>
      </c>
      <c r="BO921" t="s">
        <v>74</v>
      </c>
      <c r="BP921" t="s">
        <v>74</v>
      </c>
      <c r="BQ921" t="s">
        <v>74</v>
      </c>
      <c r="BR921" t="s">
        <v>99</v>
      </c>
      <c r="BS921" t="s">
        <v>11838</v>
      </c>
      <c r="BT921" t="str">
        <f>HYPERLINK("https%3A%2F%2Fwww.webofscience.com%2Fwos%2Fwoscc%2Ffull-record%2FWOS:000085800400002","View Full Record in Web of Science")</f>
        <v>View Full Record in Web of Science</v>
      </c>
    </row>
    <row r="922" spans="1:72" x14ac:dyDescent="0.15">
      <c r="A922" t="s">
        <v>72</v>
      </c>
      <c r="B922" t="s">
        <v>11839</v>
      </c>
      <c r="C922" t="s">
        <v>74</v>
      </c>
      <c r="D922" t="s">
        <v>74</v>
      </c>
      <c r="E922" t="s">
        <v>74</v>
      </c>
      <c r="F922" t="s">
        <v>11839</v>
      </c>
      <c r="G922" t="s">
        <v>74</v>
      </c>
      <c r="H922" t="s">
        <v>74</v>
      </c>
      <c r="I922" t="s">
        <v>11840</v>
      </c>
      <c r="J922" t="s">
        <v>11816</v>
      </c>
      <c r="K922" t="s">
        <v>74</v>
      </c>
      <c r="L922" t="s">
        <v>74</v>
      </c>
      <c r="M922" t="s">
        <v>77</v>
      </c>
      <c r="N922" t="s">
        <v>52</v>
      </c>
      <c r="O922" t="s">
        <v>74</v>
      </c>
      <c r="P922" t="s">
        <v>74</v>
      </c>
      <c r="Q922" t="s">
        <v>74</v>
      </c>
      <c r="R922" t="s">
        <v>74</v>
      </c>
      <c r="S922" t="s">
        <v>74</v>
      </c>
      <c r="T922" t="s">
        <v>74</v>
      </c>
      <c r="U922" t="s">
        <v>74</v>
      </c>
      <c r="V922" t="s">
        <v>74</v>
      </c>
      <c r="W922" t="s">
        <v>11841</v>
      </c>
      <c r="X922" t="s">
        <v>8137</v>
      </c>
      <c r="Y922" t="s">
        <v>74</v>
      </c>
      <c r="Z922" t="s">
        <v>74</v>
      </c>
      <c r="AA922" t="s">
        <v>74</v>
      </c>
      <c r="AB922" t="s">
        <v>74</v>
      </c>
      <c r="AC922" t="s">
        <v>74</v>
      </c>
      <c r="AD922" t="s">
        <v>74</v>
      </c>
      <c r="AE922" t="s">
        <v>74</v>
      </c>
      <c r="AF922" t="s">
        <v>74</v>
      </c>
      <c r="AG922">
        <v>0</v>
      </c>
      <c r="AH922">
        <v>0</v>
      </c>
      <c r="AI922">
        <v>0</v>
      </c>
      <c r="AJ922">
        <v>0</v>
      </c>
      <c r="AK922">
        <v>2</v>
      </c>
      <c r="AL922" t="s">
        <v>11820</v>
      </c>
      <c r="AM922" t="s">
        <v>11821</v>
      </c>
      <c r="AN922" t="s">
        <v>11822</v>
      </c>
      <c r="AO922" t="s">
        <v>11823</v>
      </c>
      <c r="AP922" t="s">
        <v>74</v>
      </c>
      <c r="AQ922" t="s">
        <v>74</v>
      </c>
      <c r="AR922" t="s">
        <v>11824</v>
      </c>
      <c r="AS922" t="s">
        <v>11825</v>
      </c>
      <c r="AT922" t="s">
        <v>74</v>
      </c>
      <c r="AU922">
        <v>1999</v>
      </c>
      <c r="AV922">
        <v>39</v>
      </c>
      <c r="AW922">
        <v>5</v>
      </c>
      <c r="AX922" t="s">
        <v>74</v>
      </c>
      <c r="AY922" t="s">
        <v>74</v>
      </c>
      <c r="AZ922" t="s">
        <v>4033</v>
      </c>
      <c r="BA922">
        <v>6</v>
      </c>
      <c r="BB922" t="s">
        <v>11826</v>
      </c>
      <c r="BC922" t="s">
        <v>11842</v>
      </c>
      <c r="BD922" t="s">
        <v>74</v>
      </c>
      <c r="BE922" t="s">
        <v>74</v>
      </c>
      <c r="BF922" t="s">
        <v>74</v>
      </c>
      <c r="BG922" t="s">
        <v>74</v>
      </c>
      <c r="BH922" t="s">
        <v>74</v>
      </c>
      <c r="BI922">
        <v>2</v>
      </c>
      <c r="BJ922" t="s">
        <v>142</v>
      </c>
      <c r="BK922" t="s">
        <v>96</v>
      </c>
      <c r="BL922" t="s">
        <v>142</v>
      </c>
      <c r="BM922" t="s">
        <v>11827</v>
      </c>
      <c r="BN922" t="s">
        <v>74</v>
      </c>
      <c r="BO922" t="s">
        <v>74</v>
      </c>
      <c r="BP922" t="s">
        <v>74</v>
      </c>
      <c r="BQ922" t="s">
        <v>74</v>
      </c>
      <c r="BR922" t="s">
        <v>99</v>
      </c>
      <c r="BS922" t="s">
        <v>11843</v>
      </c>
      <c r="BT922" t="str">
        <f>HYPERLINK("https%3A%2F%2Fwww.webofscience.com%2Fwos%2Fwoscc%2Ffull-record%2FWOS:000085800400007","View Full Record in Web of Science")</f>
        <v>View Full Record in Web of Science</v>
      </c>
    </row>
    <row r="923" spans="1:72" x14ac:dyDescent="0.15">
      <c r="A923" t="s">
        <v>72</v>
      </c>
      <c r="B923" t="s">
        <v>11844</v>
      </c>
      <c r="C923" t="s">
        <v>74</v>
      </c>
      <c r="D923" t="s">
        <v>74</v>
      </c>
      <c r="E923" t="s">
        <v>74</v>
      </c>
      <c r="F923" t="s">
        <v>11844</v>
      </c>
      <c r="G923" t="s">
        <v>74</v>
      </c>
      <c r="H923" t="s">
        <v>74</v>
      </c>
      <c r="I923" t="s">
        <v>11845</v>
      </c>
      <c r="J923" t="s">
        <v>11816</v>
      </c>
      <c r="K923" t="s">
        <v>74</v>
      </c>
      <c r="L923" t="s">
        <v>74</v>
      </c>
      <c r="M923" t="s">
        <v>77</v>
      </c>
      <c r="N923" t="s">
        <v>52</v>
      </c>
      <c r="O923" t="s">
        <v>74</v>
      </c>
      <c r="P923" t="s">
        <v>74</v>
      </c>
      <c r="Q923" t="s">
        <v>74</v>
      </c>
      <c r="R923" t="s">
        <v>74</v>
      </c>
      <c r="S923" t="s">
        <v>74</v>
      </c>
      <c r="T923" t="s">
        <v>74</v>
      </c>
      <c r="U923" t="s">
        <v>74</v>
      </c>
      <c r="V923" t="s">
        <v>74</v>
      </c>
      <c r="W923" t="s">
        <v>11846</v>
      </c>
      <c r="X923" t="s">
        <v>11847</v>
      </c>
      <c r="Y923" t="s">
        <v>74</v>
      </c>
      <c r="Z923" t="s">
        <v>74</v>
      </c>
      <c r="AA923" t="s">
        <v>74</v>
      </c>
      <c r="AB923" t="s">
        <v>74</v>
      </c>
      <c r="AC923" t="s">
        <v>74</v>
      </c>
      <c r="AD923" t="s">
        <v>74</v>
      </c>
      <c r="AE923" t="s">
        <v>74</v>
      </c>
      <c r="AF923" t="s">
        <v>74</v>
      </c>
      <c r="AG923">
        <v>0</v>
      </c>
      <c r="AH923">
        <v>0</v>
      </c>
      <c r="AI923">
        <v>0</v>
      </c>
      <c r="AJ923">
        <v>0</v>
      </c>
      <c r="AK923">
        <v>0</v>
      </c>
      <c r="AL923" t="s">
        <v>11820</v>
      </c>
      <c r="AM923" t="s">
        <v>11821</v>
      </c>
      <c r="AN923" t="s">
        <v>11822</v>
      </c>
      <c r="AO923" t="s">
        <v>11823</v>
      </c>
      <c r="AP923" t="s">
        <v>74</v>
      </c>
      <c r="AQ923" t="s">
        <v>74</v>
      </c>
      <c r="AR923" t="s">
        <v>11824</v>
      </c>
      <c r="AS923" t="s">
        <v>11825</v>
      </c>
      <c r="AT923" t="s">
        <v>74</v>
      </c>
      <c r="AU923">
        <v>1999</v>
      </c>
      <c r="AV923">
        <v>39</v>
      </c>
      <c r="AW923">
        <v>5</v>
      </c>
      <c r="AX923" t="s">
        <v>74</v>
      </c>
      <c r="AY923" t="s">
        <v>74</v>
      </c>
      <c r="AZ923" t="s">
        <v>4033</v>
      </c>
      <c r="BA923">
        <v>11</v>
      </c>
      <c r="BB923" t="s">
        <v>11842</v>
      </c>
      <c r="BC923" t="s">
        <v>11842</v>
      </c>
      <c r="BD923" t="s">
        <v>74</v>
      </c>
      <c r="BE923" t="s">
        <v>74</v>
      </c>
      <c r="BF923" t="s">
        <v>74</v>
      </c>
      <c r="BG923" t="s">
        <v>74</v>
      </c>
      <c r="BH923" t="s">
        <v>74</v>
      </c>
      <c r="BI923">
        <v>1</v>
      </c>
      <c r="BJ923" t="s">
        <v>142</v>
      </c>
      <c r="BK923" t="s">
        <v>96</v>
      </c>
      <c r="BL923" t="s">
        <v>142</v>
      </c>
      <c r="BM923" t="s">
        <v>11827</v>
      </c>
      <c r="BN923" t="s">
        <v>74</v>
      </c>
      <c r="BO923" t="s">
        <v>74</v>
      </c>
      <c r="BP923" t="s">
        <v>74</v>
      </c>
      <c r="BQ923" t="s">
        <v>74</v>
      </c>
      <c r="BR923" t="s">
        <v>99</v>
      </c>
      <c r="BS923" t="s">
        <v>11848</v>
      </c>
      <c r="BT923" t="str">
        <f>HYPERLINK("https%3A%2F%2Fwww.webofscience.com%2Fwos%2Fwoscc%2Ffull-record%2FWOS:000085800400012","View Full Record in Web of Science")</f>
        <v>View Full Record in Web of Science</v>
      </c>
    </row>
    <row r="924" spans="1:72" x14ac:dyDescent="0.15">
      <c r="A924" t="s">
        <v>72</v>
      </c>
      <c r="B924" t="s">
        <v>11849</v>
      </c>
      <c r="C924" t="s">
        <v>74</v>
      </c>
      <c r="D924" t="s">
        <v>74</v>
      </c>
      <c r="E924" t="s">
        <v>74</v>
      </c>
      <c r="F924" t="s">
        <v>11849</v>
      </c>
      <c r="G924" t="s">
        <v>74</v>
      </c>
      <c r="H924" t="s">
        <v>74</v>
      </c>
      <c r="I924" t="s">
        <v>11850</v>
      </c>
      <c r="J924" t="s">
        <v>11816</v>
      </c>
      <c r="K924" t="s">
        <v>74</v>
      </c>
      <c r="L924" t="s">
        <v>74</v>
      </c>
      <c r="M924" t="s">
        <v>77</v>
      </c>
      <c r="N924" t="s">
        <v>52</v>
      </c>
      <c r="O924" t="s">
        <v>74</v>
      </c>
      <c r="P924" t="s">
        <v>74</v>
      </c>
      <c r="Q924" t="s">
        <v>74</v>
      </c>
      <c r="R924" t="s">
        <v>74</v>
      </c>
      <c r="S924" t="s">
        <v>74</v>
      </c>
      <c r="T924" t="s">
        <v>74</v>
      </c>
      <c r="U924" t="s">
        <v>74</v>
      </c>
      <c r="V924" t="s">
        <v>74</v>
      </c>
      <c r="W924" t="s">
        <v>11851</v>
      </c>
      <c r="X924" t="s">
        <v>11852</v>
      </c>
      <c r="Y924" t="s">
        <v>74</v>
      </c>
      <c r="Z924" t="s">
        <v>74</v>
      </c>
      <c r="AA924" t="s">
        <v>74</v>
      </c>
      <c r="AB924" t="s">
        <v>74</v>
      </c>
      <c r="AC924" t="s">
        <v>74</v>
      </c>
      <c r="AD924" t="s">
        <v>74</v>
      </c>
      <c r="AE924" t="s">
        <v>74</v>
      </c>
      <c r="AF924" t="s">
        <v>74</v>
      </c>
      <c r="AG924">
        <v>0</v>
      </c>
      <c r="AH924">
        <v>0</v>
      </c>
      <c r="AI924">
        <v>0</v>
      </c>
      <c r="AJ924">
        <v>0</v>
      </c>
      <c r="AK924">
        <v>1</v>
      </c>
      <c r="AL924" t="s">
        <v>11820</v>
      </c>
      <c r="AM924" t="s">
        <v>11821</v>
      </c>
      <c r="AN924" t="s">
        <v>11822</v>
      </c>
      <c r="AO924" t="s">
        <v>11823</v>
      </c>
      <c r="AP924" t="s">
        <v>74</v>
      </c>
      <c r="AQ924" t="s">
        <v>74</v>
      </c>
      <c r="AR924" t="s">
        <v>11824</v>
      </c>
      <c r="AS924" t="s">
        <v>11825</v>
      </c>
      <c r="AT924" t="s">
        <v>74</v>
      </c>
      <c r="AU924">
        <v>1999</v>
      </c>
      <c r="AV924">
        <v>39</v>
      </c>
      <c r="AW924">
        <v>5</v>
      </c>
      <c r="AX924" t="s">
        <v>74</v>
      </c>
      <c r="AY924" t="s">
        <v>74</v>
      </c>
      <c r="AZ924" t="s">
        <v>4033</v>
      </c>
      <c r="BA924">
        <v>12</v>
      </c>
      <c r="BB924" t="s">
        <v>11842</v>
      </c>
      <c r="BC924" t="s">
        <v>11842</v>
      </c>
      <c r="BD924" t="s">
        <v>74</v>
      </c>
      <c r="BE924" t="s">
        <v>74</v>
      </c>
      <c r="BF924" t="s">
        <v>74</v>
      </c>
      <c r="BG924" t="s">
        <v>74</v>
      </c>
      <c r="BH924" t="s">
        <v>74</v>
      </c>
      <c r="BI924">
        <v>1</v>
      </c>
      <c r="BJ924" t="s">
        <v>142</v>
      </c>
      <c r="BK924" t="s">
        <v>96</v>
      </c>
      <c r="BL924" t="s">
        <v>142</v>
      </c>
      <c r="BM924" t="s">
        <v>11827</v>
      </c>
      <c r="BN924" t="s">
        <v>74</v>
      </c>
      <c r="BO924" t="s">
        <v>74</v>
      </c>
      <c r="BP924" t="s">
        <v>74</v>
      </c>
      <c r="BQ924" t="s">
        <v>74</v>
      </c>
      <c r="BR924" t="s">
        <v>99</v>
      </c>
      <c r="BS924" t="s">
        <v>11853</v>
      </c>
      <c r="BT924" t="str">
        <f>HYPERLINK("https%3A%2F%2Fwww.webofscience.com%2Fwos%2Fwoscc%2Ffull-record%2FWOS:000085800400013","View Full Record in Web of Science")</f>
        <v>View Full Record in Web of Science</v>
      </c>
    </row>
    <row r="925" spans="1:72" x14ac:dyDescent="0.15">
      <c r="A925" t="s">
        <v>72</v>
      </c>
      <c r="B925" t="s">
        <v>11854</v>
      </c>
      <c r="C925" t="s">
        <v>74</v>
      </c>
      <c r="D925" t="s">
        <v>74</v>
      </c>
      <c r="E925" t="s">
        <v>74</v>
      </c>
      <c r="F925" t="s">
        <v>11854</v>
      </c>
      <c r="G925" t="s">
        <v>74</v>
      </c>
      <c r="H925" t="s">
        <v>74</v>
      </c>
      <c r="I925" t="s">
        <v>11855</v>
      </c>
      <c r="J925" t="s">
        <v>11816</v>
      </c>
      <c r="K925" t="s">
        <v>74</v>
      </c>
      <c r="L925" t="s">
        <v>74</v>
      </c>
      <c r="M925" t="s">
        <v>77</v>
      </c>
      <c r="N925" t="s">
        <v>52</v>
      </c>
      <c r="O925" t="s">
        <v>74</v>
      </c>
      <c r="P925" t="s">
        <v>74</v>
      </c>
      <c r="Q925" t="s">
        <v>74</v>
      </c>
      <c r="R925" t="s">
        <v>74</v>
      </c>
      <c r="S925" t="s">
        <v>74</v>
      </c>
      <c r="T925" t="s">
        <v>74</v>
      </c>
      <c r="U925" t="s">
        <v>74</v>
      </c>
      <c r="V925" t="s">
        <v>74</v>
      </c>
      <c r="W925" t="s">
        <v>11856</v>
      </c>
      <c r="X925" t="s">
        <v>9137</v>
      </c>
      <c r="Y925" t="s">
        <v>74</v>
      </c>
      <c r="Z925" t="s">
        <v>74</v>
      </c>
      <c r="AA925" t="s">
        <v>74</v>
      </c>
      <c r="AB925" t="s">
        <v>74</v>
      </c>
      <c r="AC925" t="s">
        <v>74</v>
      </c>
      <c r="AD925" t="s">
        <v>74</v>
      </c>
      <c r="AE925" t="s">
        <v>74</v>
      </c>
      <c r="AF925" t="s">
        <v>74</v>
      </c>
      <c r="AG925">
        <v>0</v>
      </c>
      <c r="AH925">
        <v>0</v>
      </c>
      <c r="AI925">
        <v>0</v>
      </c>
      <c r="AJ925">
        <v>0</v>
      </c>
      <c r="AK925">
        <v>1</v>
      </c>
      <c r="AL925" t="s">
        <v>11820</v>
      </c>
      <c r="AM925" t="s">
        <v>11821</v>
      </c>
      <c r="AN925" t="s">
        <v>11822</v>
      </c>
      <c r="AO925" t="s">
        <v>11823</v>
      </c>
      <c r="AP925" t="s">
        <v>74</v>
      </c>
      <c r="AQ925" t="s">
        <v>74</v>
      </c>
      <c r="AR925" t="s">
        <v>11824</v>
      </c>
      <c r="AS925" t="s">
        <v>11825</v>
      </c>
      <c r="AT925" t="s">
        <v>74</v>
      </c>
      <c r="AU925">
        <v>1999</v>
      </c>
      <c r="AV925">
        <v>39</v>
      </c>
      <c r="AW925">
        <v>5</v>
      </c>
      <c r="AX925" t="s">
        <v>74</v>
      </c>
      <c r="AY925" t="s">
        <v>74</v>
      </c>
      <c r="AZ925" t="s">
        <v>4033</v>
      </c>
      <c r="BA925">
        <v>10</v>
      </c>
      <c r="BB925" t="s">
        <v>11842</v>
      </c>
      <c r="BC925" t="s">
        <v>11842</v>
      </c>
      <c r="BD925" t="s">
        <v>74</v>
      </c>
      <c r="BE925" t="s">
        <v>74</v>
      </c>
      <c r="BF925" t="s">
        <v>74</v>
      </c>
      <c r="BG925" t="s">
        <v>74</v>
      </c>
      <c r="BH925" t="s">
        <v>74</v>
      </c>
      <c r="BI925">
        <v>1</v>
      </c>
      <c r="BJ925" t="s">
        <v>142</v>
      </c>
      <c r="BK925" t="s">
        <v>96</v>
      </c>
      <c r="BL925" t="s">
        <v>142</v>
      </c>
      <c r="BM925" t="s">
        <v>11827</v>
      </c>
      <c r="BN925" t="s">
        <v>74</v>
      </c>
      <c r="BO925" t="s">
        <v>74</v>
      </c>
      <c r="BP925" t="s">
        <v>74</v>
      </c>
      <c r="BQ925" t="s">
        <v>74</v>
      </c>
      <c r="BR925" t="s">
        <v>99</v>
      </c>
      <c r="BS925" t="s">
        <v>11857</v>
      </c>
      <c r="BT925" t="str">
        <f>HYPERLINK("https%3A%2F%2Fwww.webofscience.com%2Fwos%2Fwoscc%2Ffull-record%2FWOS:000085800400011","View Full Record in Web of Science")</f>
        <v>View Full Record in Web of Science</v>
      </c>
    </row>
    <row r="926" spans="1:72" x14ac:dyDescent="0.15">
      <c r="A926" t="s">
        <v>72</v>
      </c>
      <c r="B926" t="s">
        <v>11858</v>
      </c>
      <c r="C926" t="s">
        <v>74</v>
      </c>
      <c r="D926" t="s">
        <v>74</v>
      </c>
      <c r="E926" t="s">
        <v>74</v>
      </c>
      <c r="F926" t="s">
        <v>11858</v>
      </c>
      <c r="G926" t="s">
        <v>74</v>
      </c>
      <c r="H926" t="s">
        <v>74</v>
      </c>
      <c r="I926" t="s">
        <v>11859</v>
      </c>
      <c r="J926" t="s">
        <v>11816</v>
      </c>
      <c r="K926" t="s">
        <v>74</v>
      </c>
      <c r="L926" t="s">
        <v>74</v>
      </c>
      <c r="M926" t="s">
        <v>77</v>
      </c>
      <c r="N926" t="s">
        <v>52</v>
      </c>
      <c r="O926" t="s">
        <v>74</v>
      </c>
      <c r="P926" t="s">
        <v>74</v>
      </c>
      <c r="Q926" t="s">
        <v>74</v>
      </c>
      <c r="R926" t="s">
        <v>74</v>
      </c>
      <c r="S926" t="s">
        <v>74</v>
      </c>
      <c r="T926" t="s">
        <v>74</v>
      </c>
      <c r="U926" t="s">
        <v>74</v>
      </c>
      <c r="V926" t="s">
        <v>74</v>
      </c>
      <c r="W926" t="s">
        <v>11860</v>
      </c>
      <c r="X926" t="s">
        <v>11861</v>
      </c>
      <c r="Y926" t="s">
        <v>74</v>
      </c>
      <c r="Z926" t="s">
        <v>74</v>
      </c>
      <c r="AA926" t="s">
        <v>74</v>
      </c>
      <c r="AB926" t="s">
        <v>74</v>
      </c>
      <c r="AC926" t="s">
        <v>74</v>
      </c>
      <c r="AD926" t="s">
        <v>74</v>
      </c>
      <c r="AE926" t="s">
        <v>74</v>
      </c>
      <c r="AF926" t="s">
        <v>74</v>
      </c>
      <c r="AG926">
        <v>0</v>
      </c>
      <c r="AH926">
        <v>0</v>
      </c>
      <c r="AI926">
        <v>0</v>
      </c>
      <c r="AJ926">
        <v>0</v>
      </c>
      <c r="AK926">
        <v>2</v>
      </c>
      <c r="AL926" t="s">
        <v>11820</v>
      </c>
      <c r="AM926" t="s">
        <v>11821</v>
      </c>
      <c r="AN926" t="s">
        <v>11822</v>
      </c>
      <c r="AO926" t="s">
        <v>11823</v>
      </c>
      <c r="AP926" t="s">
        <v>74</v>
      </c>
      <c r="AQ926" t="s">
        <v>74</v>
      </c>
      <c r="AR926" t="s">
        <v>11824</v>
      </c>
      <c r="AS926" t="s">
        <v>11825</v>
      </c>
      <c r="AT926" t="s">
        <v>74</v>
      </c>
      <c r="AU926">
        <v>1999</v>
      </c>
      <c r="AV926">
        <v>39</v>
      </c>
      <c r="AW926">
        <v>5</v>
      </c>
      <c r="AX926" t="s">
        <v>74</v>
      </c>
      <c r="AY926" t="s">
        <v>74</v>
      </c>
      <c r="AZ926" t="s">
        <v>4033</v>
      </c>
      <c r="BA926">
        <v>7</v>
      </c>
      <c r="BB926" t="s">
        <v>11842</v>
      </c>
      <c r="BC926" t="s">
        <v>11842</v>
      </c>
      <c r="BD926" t="s">
        <v>74</v>
      </c>
      <c r="BE926" t="s">
        <v>74</v>
      </c>
      <c r="BF926" t="s">
        <v>74</v>
      </c>
      <c r="BG926" t="s">
        <v>74</v>
      </c>
      <c r="BH926" t="s">
        <v>74</v>
      </c>
      <c r="BI926">
        <v>1</v>
      </c>
      <c r="BJ926" t="s">
        <v>142</v>
      </c>
      <c r="BK926" t="s">
        <v>96</v>
      </c>
      <c r="BL926" t="s">
        <v>142</v>
      </c>
      <c r="BM926" t="s">
        <v>11827</v>
      </c>
      <c r="BN926" t="s">
        <v>74</v>
      </c>
      <c r="BO926" t="s">
        <v>74</v>
      </c>
      <c r="BP926" t="s">
        <v>74</v>
      </c>
      <c r="BQ926" t="s">
        <v>74</v>
      </c>
      <c r="BR926" t="s">
        <v>99</v>
      </c>
      <c r="BS926" t="s">
        <v>11862</v>
      </c>
      <c r="BT926" t="str">
        <f>HYPERLINK("https%3A%2F%2Fwww.webofscience.com%2Fwos%2Fwoscc%2Ffull-record%2FWOS:000085800400008","View Full Record in Web of Science")</f>
        <v>View Full Record in Web of Science</v>
      </c>
    </row>
    <row r="927" spans="1:72" x14ac:dyDescent="0.15">
      <c r="A927" t="s">
        <v>72</v>
      </c>
      <c r="B927" t="s">
        <v>11863</v>
      </c>
      <c r="C927" t="s">
        <v>74</v>
      </c>
      <c r="D927" t="s">
        <v>74</v>
      </c>
      <c r="E927" t="s">
        <v>74</v>
      </c>
      <c r="F927" t="s">
        <v>11863</v>
      </c>
      <c r="G927" t="s">
        <v>74</v>
      </c>
      <c r="H927" t="s">
        <v>74</v>
      </c>
      <c r="I927" t="s">
        <v>11864</v>
      </c>
      <c r="J927" t="s">
        <v>11816</v>
      </c>
      <c r="K927" t="s">
        <v>74</v>
      </c>
      <c r="L927" t="s">
        <v>74</v>
      </c>
      <c r="M927" t="s">
        <v>77</v>
      </c>
      <c r="N927" t="s">
        <v>52</v>
      </c>
      <c r="O927" t="s">
        <v>74</v>
      </c>
      <c r="P927" t="s">
        <v>74</v>
      </c>
      <c r="Q927" t="s">
        <v>74</v>
      </c>
      <c r="R927" t="s">
        <v>74</v>
      </c>
      <c r="S927" t="s">
        <v>74</v>
      </c>
      <c r="T927" t="s">
        <v>74</v>
      </c>
      <c r="U927" t="s">
        <v>74</v>
      </c>
      <c r="V927" t="s">
        <v>74</v>
      </c>
      <c r="W927" t="s">
        <v>11841</v>
      </c>
      <c r="X927" t="s">
        <v>8137</v>
      </c>
      <c r="Y927" t="s">
        <v>74</v>
      </c>
      <c r="Z927" t="s">
        <v>74</v>
      </c>
      <c r="AA927" t="s">
        <v>74</v>
      </c>
      <c r="AB927" t="s">
        <v>74</v>
      </c>
      <c r="AC927" t="s">
        <v>74</v>
      </c>
      <c r="AD927" t="s">
        <v>74</v>
      </c>
      <c r="AE927" t="s">
        <v>74</v>
      </c>
      <c r="AF927" t="s">
        <v>74</v>
      </c>
      <c r="AG927">
        <v>0</v>
      </c>
      <c r="AH927">
        <v>1</v>
      </c>
      <c r="AI927">
        <v>1</v>
      </c>
      <c r="AJ927">
        <v>0</v>
      </c>
      <c r="AK927">
        <v>2</v>
      </c>
      <c r="AL927" t="s">
        <v>11820</v>
      </c>
      <c r="AM927" t="s">
        <v>11821</v>
      </c>
      <c r="AN927" t="s">
        <v>11822</v>
      </c>
      <c r="AO927" t="s">
        <v>11823</v>
      </c>
      <c r="AP927" t="s">
        <v>74</v>
      </c>
      <c r="AQ927" t="s">
        <v>74</v>
      </c>
      <c r="AR927" t="s">
        <v>11824</v>
      </c>
      <c r="AS927" t="s">
        <v>11825</v>
      </c>
      <c r="AT927" t="s">
        <v>74</v>
      </c>
      <c r="AU927">
        <v>1999</v>
      </c>
      <c r="AV927">
        <v>39</v>
      </c>
      <c r="AW927">
        <v>5</v>
      </c>
      <c r="AX927" t="s">
        <v>74</v>
      </c>
      <c r="AY927" t="s">
        <v>74</v>
      </c>
      <c r="AZ927" t="s">
        <v>4033</v>
      </c>
      <c r="BA927">
        <v>8</v>
      </c>
      <c r="BB927" t="s">
        <v>11842</v>
      </c>
      <c r="BC927" t="s">
        <v>11842</v>
      </c>
      <c r="BD927" t="s">
        <v>74</v>
      </c>
      <c r="BE927" t="s">
        <v>74</v>
      </c>
      <c r="BF927" t="s">
        <v>74</v>
      </c>
      <c r="BG927" t="s">
        <v>74</v>
      </c>
      <c r="BH927" t="s">
        <v>74</v>
      </c>
      <c r="BI927">
        <v>1</v>
      </c>
      <c r="BJ927" t="s">
        <v>142</v>
      </c>
      <c r="BK927" t="s">
        <v>96</v>
      </c>
      <c r="BL927" t="s">
        <v>142</v>
      </c>
      <c r="BM927" t="s">
        <v>11827</v>
      </c>
      <c r="BN927" t="s">
        <v>74</v>
      </c>
      <c r="BO927" t="s">
        <v>74</v>
      </c>
      <c r="BP927" t="s">
        <v>74</v>
      </c>
      <c r="BQ927" t="s">
        <v>74</v>
      </c>
      <c r="BR927" t="s">
        <v>99</v>
      </c>
      <c r="BS927" t="s">
        <v>11865</v>
      </c>
      <c r="BT927" t="str">
        <f>HYPERLINK("https%3A%2F%2Fwww.webofscience.com%2Fwos%2Fwoscc%2Ffull-record%2FWOS:000085800400009","View Full Record in Web of Science")</f>
        <v>View Full Record in Web of Science</v>
      </c>
    </row>
    <row r="928" spans="1:72" x14ac:dyDescent="0.15">
      <c r="A928" t="s">
        <v>72</v>
      </c>
      <c r="B928" t="s">
        <v>11866</v>
      </c>
      <c r="C928" t="s">
        <v>74</v>
      </c>
      <c r="D928" t="s">
        <v>74</v>
      </c>
      <c r="E928" t="s">
        <v>74</v>
      </c>
      <c r="F928" t="s">
        <v>11866</v>
      </c>
      <c r="G928" t="s">
        <v>74</v>
      </c>
      <c r="H928" t="s">
        <v>74</v>
      </c>
      <c r="I928" t="s">
        <v>11867</v>
      </c>
      <c r="J928" t="s">
        <v>11816</v>
      </c>
      <c r="K928" t="s">
        <v>74</v>
      </c>
      <c r="L928" t="s">
        <v>74</v>
      </c>
      <c r="M928" t="s">
        <v>77</v>
      </c>
      <c r="N928" t="s">
        <v>52</v>
      </c>
      <c r="O928" t="s">
        <v>74</v>
      </c>
      <c r="P928" t="s">
        <v>74</v>
      </c>
      <c r="Q928" t="s">
        <v>74</v>
      </c>
      <c r="R928" t="s">
        <v>74</v>
      </c>
      <c r="S928" t="s">
        <v>74</v>
      </c>
      <c r="T928" t="s">
        <v>74</v>
      </c>
      <c r="U928" t="s">
        <v>74</v>
      </c>
      <c r="V928" t="s">
        <v>74</v>
      </c>
      <c r="W928" t="s">
        <v>11868</v>
      </c>
      <c r="X928" t="s">
        <v>11869</v>
      </c>
      <c r="Y928" t="s">
        <v>74</v>
      </c>
      <c r="Z928" t="s">
        <v>74</v>
      </c>
      <c r="AA928" t="s">
        <v>74</v>
      </c>
      <c r="AB928" t="s">
        <v>74</v>
      </c>
      <c r="AC928" t="s">
        <v>74</v>
      </c>
      <c r="AD928" t="s">
        <v>74</v>
      </c>
      <c r="AE928" t="s">
        <v>74</v>
      </c>
      <c r="AF928" t="s">
        <v>74</v>
      </c>
      <c r="AG928">
        <v>0</v>
      </c>
      <c r="AH928">
        <v>1</v>
      </c>
      <c r="AI928">
        <v>1</v>
      </c>
      <c r="AJ928">
        <v>0</v>
      </c>
      <c r="AK928">
        <v>0</v>
      </c>
      <c r="AL928" t="s">
        <v>11820</v>
      </c>
      <c r="AM928" t="s">
        <v>11821</v>
      </c>
      <c r="AN928" t="s">
        <v>11822</v>
      </c>
      <c r="AO928" t="s">
        <v>11823</v>
      </c>
      <c r="AP928" t="s">
        <v>74</v>
      </c>
      <c r="AQ928" t="s">
        <v>74</v>
      </c>
      <c r="AR928" t="s">
        <v>11824</v>
      </c>
      <c r="AS928" t="s">
        <v>11825</v>
      </c>
      <c r="AT928" t="s">
        <v>74</v>
      </c>
      <c r="AU928">
        <v>1999</v>
      </c>
      <c r="AV928">
        <v>39</v>
      </c>
      <c r="AW928">
        <v>5</v>
      </c>
      <c r="AX928" t="s">
        <v>74</v>
      </c>
      <c r="AY928" t="s">
        <v>74</v>
      </c>
      <c r="AZ928" t="s">
        <v>4033</v>
      </c>
      <c r="BA928">
        <v>455</v>
      </c>
      <c r="BB928" t="s">
        <v>11870</v>
      </c>
      <c r="BC928" t="s">
        <v>11870</v>
      </c>
      <c r="BD928" t="s">
        <v>74</v>
      </c>
      <c r="BE928" t="s">
        <v>74</v>
      </c>
      <c r="BF928" t="s">
        <v>74</v>
      </c>
      <c r="BG928" t="s">
        <v>74</v>
      </c>
      <c r="BH928" t="s">
        <v>74</v>
      </c>
      <c r="BI928">
        <v>1</v>
      </c>
      <c r="BJ928" t="s">
        <v>142</v>
      </c>
      <c r="BK928" t="s">
        <v>96</v>
      </c>
      <c r="BL928" t="s">
        <v>142</v>
      </c>
      <c r="BM928" t="s">
        <v>11827</v>
      </c>
      <c r="BN928" t="s">
        <v>74</v>
      </c>
      <c r="BO928" t="s">
        <v>74</v>
      </c>
      <c r="BP928" t="s">
        <v>74</v>
      </c>
      <c r="BQ928" t="s">
        <v>74</v>
      </c>
      <c r="BR928" t="s">
        <v>99</v>
      </c>
      <c r="BS928" t="s">
        <v>11871</v>
      </c>
      <c r="BT928" t="str">
        <f>HYPERLINK("https%3A%2F%2Fwww.webofscience.com%2Fwos%2Fwoscc%2Ffull-record%2FWOS:000085800400456","View Full Record in Web of Science")</f>
        <v>View Full Record in Web of Science</v>
      </c>
    </row>
    <row r="929" spans="1:72" x14ac:dyDescent="0.15">
      <c r="A929" t="s">
        <v>72</v>
      </c>
      <c r="B929" t="s">
        <v>11872</v>
      </c>
      <c r="C929" t="s">
        <v>74</v>
      </c>
      <c r="D929" t="s">
        <v>74</v>
      </c>
      <c r="E929" t="s">
        <v>74</v>
      </c>
      <c r="F929" t="s">
        <v>11872</v>
      </c>
      <c r="G929" t="s">
        <v>74</v>
      </c>
      <c r="H929" t="s">
        <v>74</v>
      </c>
      <c r="I929" t="s">
        <v>11873</v>
      </c>
      <c r="J929" t="s">
        <v>11816</v>
      </c>
      <c r="K929" t="s">
        <v>74</v>
      </c>
      <c r="L929" t="s">
        <v>74</v>
      </c>
      <c r="M929" t="s">
        <v>77</v>
      </c>
      <c r="N929" t="s">
        <v>52</v>
      </c>
      <c r="O929" t="s">
        <v>74</v>
      </c>
      <c r="P929" t="s">
        <v>74</v>
      </c>
      <c r="Q929" t="s">
        <v>74</v>
      </c>
      <c r="R929" t="s">
        <v>74</v>
      </c>
      <c r="S929" t="s">
        <v>74</v>
      </c>
      <c r="T929" t="s">
        <v>74</v>
      </c>
      <c r="U929" t="s">
        <v>74</v>
      </c>
      <c r="V929" t="s">
        <v>74</v>
      </c>
      <c r="W929" t="s">
        <v>11874</v>
      </c>
      <c r="X929" t="s">
        <v>11875</v>
      </c>
      <c r="Y929" t="s">
        <v>74</v>
      </c>
      <c r="Z929" t="s">
        <v>74</v>
      </c>
      <c r="AA929" t="s">
        <v>11876</v>
      </c>
      <c r="AB929" t="s">
        <v>11877</v>
      </c>
      <c r="AC929" t="s">
        <v>74</v>
      </c>
      <c r="AD929" t="s">
        <v>74</v>
      </c>
      <c r="AE929" t="s">
        <v>74</v>
      </c>
      <c r="AF929" t="s">
        <v>74</v>
      </c>
      <c r="AG929">
        <v>0</v>
      </c>
      <c r="AH929">
        <v>0</v>
      </c>
      <c r="AI929">
        <v>0</v>
      </c>
      <c r="AJ929">
        <v>0</v>
      </c>
      <c r="AK929">
        <v>1</v>
      </c>
      <c r="AL929" t="s">
        <v>11820</v>
      </c>
      <c r="AM929" t="s">
        <v>11821</v>
      </c>
      <c r="AN929" t="s">
        <v>11822</v>
      </c>
      <c r="AO929" t="s">
        <v>11823</v>
      </c>
      <c r="AP929" t="s">
        <v>74</v>
      </c>
      <c r="AQ929" t="s">
        <v>74</v>
      </c>
      <c r="AR929" t="s">
        <v>11824</v>
      </c>
      <c r="AS929" t="s">
        <v>11825</v>
      </c>
      <c r="AT929" t="s">
        <v>74</v>
      </c>
      <c r="AU929">
        <v>1999</v>
      </c>
      <c r="AV929">
        <v>39</v>
      </c>
      <c r="AW929">
        <v>5</v>
      </c>
      <c r="AX929" t="s">
        <v>74</v>
      </c>
      <c r="AY929" t="s">
        <v>74</v>
      </c>
      <c r="AZ929" t="s">
        <v>4033</v>
      </c>
      <c r="BA929">
        <v>707</v>
      </c>
      <c r="BB929" t="s">
        <v>11878</v>
      </c>
      <c r="BC929" t="s">
        <v>11878</v>
      </c>
      <c r="BD929" t="s">
        <v>74</v>
      </c>
      <c r="BE929" t="s">
        <v>74</v>
      </c>
      <c r="BF929" t="s">
        <v>74</v>
      </c>
      <c r="BG929" t="s">
        <v>74</v>
      </c>
      <c r="BH929" t="s">
        <v>74</v>
      </c>
      <c r="BI929">
        <v>1</v>
      </c>
      <c r="BJ929" t="s">
        <v>142</v>
      </c>
      <c r="BK929" t="s">
        <v>96</v>
      </c>
      <c r="BL929" t="s">
        <v>142</v>
      </c>
      <c r="BM929" t="s">
        <v>11827</v>
      </c>
      <c r="BN929" t="s">
        <v>74</v>
      </c>
      <c r="BO929" t="s">
        <v>74</v>
      </c>
      <c r="BP929" t="s">
        <v>74</v>
      </c>
      <c r="BQ929" t="s">
        <v>74</v>
      </c>
      <c r="BR929" t="s">
        <v>99</v>
      </c>
      <c r="BS929" t="s">
        <v>11879</v>
      </c>
      <c r="BT929" t="str">
        <f>HYPERLINK("https%3A%2F%2Fwww.webofscience.com%2Fwos%2Fwoscc%2Ffull-record%2FWOS:000085800400709","View Full Record in Web of Science")</f>
        <v>View Full Record in Web of Science</v>
      </c>
    </row>
    <row r="930" spans="1:72" x14ac:dyDescent="0.15">
      <c r="A930" t="s">
        <v>72</v>
      </c>
      <c r="B930" t="s">
        <v>11880</v>
      </c>
      <c r="C930" t="s">
        <v>74</v>
      </c>
      <c r="D930" t="s">
        <v>74</v>
      </c>
      <c r="E930" t="s">
        <v>74</v>
      </c>
      <c r="F930" t="s">
        <v>11880</v>
      </c>
      <c r="G930" t="s">
        <v>74</v>
      </c>
      <c r="H930" t="s">
        <v>74</v>
      </c>
      <c r="I930" t="s">
        <v>11881</v>
      </c>
      <c r="J930" t="s">
        <v>11816</v>
      </c>
      <c r="K930" t="s">
        <v>74</v>
      </c>
      <c r="L930" t="s">
        <v>74</v>
      </c>
      <c r="M930" t="s">
        <v>77</v>
      </c>
      <c r="N930" t="s">
        <v>52</v>
      </c>
      <c r="O930" t="s">
        <v>74</v>
      </c>
      <c r="P930" t="s">
        <v>74</v>
      </c>
      <c r="Q930" t="s">
        <v>74</v>
      </c>
      <c r="R930" t="s">
        <v>74</v>
      </c>
      <c r="S930" t="s">
        <v>74</v>
      </c>
      <c r="T930" t="s">
        <v>74</v>
      </c>
      <c r="U930" t="s">
        <v>74</v>
      </c>
      <c r="V930" t="s">
        <v>74</v>
      </c>
      <c r="W930" t="s">
        <v>11882</v>
      </c>
      <c r="X930" t="s">
        <v>8097</v>
      </c>
      <c r="Y930" t="s">
        <v>74</v>
      </c>
      <c r="Z930" t="s">
        <v>11883</v>
      </c>
      <c r="AA930" t="s">
        <v>74</v>
      </c>
      <c r="AB930" t="s">
        <v>74</v>
      </c>
      <c r="AC930" t="s">
        <v>74</v>
      </c>
      <c r="AD930" t="s">
        <v>74</v>
      </c>
      <c r="AE930" t="s">
        <v>74</v>
      </c>
      <c r="AF930" t="s">
        <v>74</v>
      </c>
      <c r="AG930">
        <v>0</v>
      </c>
      <c r="AH930">
        <v>0</v>
      </c>
      <c r="AI930">
        <v>0</v>
      </c>
      <c r="AJ930">
        <v>0</v>
      </c>
      <c r="AK930">
        <v>1</v>
      </c>
      <c r="AL930" t="s">
        <v>11820</v>
      </c>
      <c r="AM930" t="s">
        <v>11821</v>
      </c>
      <c r="AN930" t="s">
        <v>11822</v>
      </c>
      <c r="AO930" t="s">
        <v>11823</v>
      </c>
      <c r="AP930" t="s">
        <v>74</v>
      </c>
      <c r="AQ930" t="s">
        <v>74</v>
      </c>
      <c r="AR930" t="s">
        <v>11824</v>
      </c>
      <c r="AS930" t="s">
        <v>11825</v>
      </c>
      <c r="AT930" t="s">
        <v>74</v>
      </c>
      <c r="AU930">
        <v>1999</v>
      </c>
      <c r="AV930">
        <v>39</v>
      </c>
      <c r="AW930">
        <v>5</v>
      </c>
      <c r="AX930" t="s">
        <v>74</v>
      </c>
      <c r="AY930" t="s">
        <v>74</v>
      </c>
      <c r="AZ930" t="s">
        <v>4033</v>
      </c>
      <c r="BA930" t="s">
        <v>11884</v>
      </c>
      <c r="BB930" t="s">
        <v>11885</v>
      </c>
      <c r="BC930" t="s">
        <v>11885</v>
      </c>
      <c r="BD930" t="s">
        <v>74</v>
      </c>
      <c r="BE930" t="s">
        <v>74</v>
      </c>
      <c r="BF930" t="s">
        <v>74</v>
      </c>
      <c r="BG930" t="s">
        <v>74</v>
      </c>
      <c r="BH930" t="s">
        <v>74</v>
      </c>
      <c r="BI930">
        <v>1</v>
      </c>
      <c r="BJ930" t="s">
        <v>142</v>
      </c>
      <c r="BK930" t="s">
        <v>96</v>
      </c>
      <c r="BL930" t="s">
        <v>142</v>
      </c>
      <c r="BM930" t="s">
        <v>11827</v>
      </c>
      <c r="BN930" t="s">
        <v>74</v>
      </c>
      <c r="BO930" t="s">
        <v>74</v>
      </c>
      <c r="BP930" t="s">
        <v>74</v>
      </c>
      <c r="BQ930" t="s">
        <v>74</v>
      </c>
      <c r="BR930" t="s">
        <v>99</v>
      </c>
      <c r="BS930" t="s">
        <v>11886</v>
      </c>
      <c r="BT930" t="str">
        <f>HYPERLINK("https%3A%2F%2Fwww.webofscience.com%2Fwos%2Fwoscc%2Ffull-record%2FWOS:000085800400763","View Full Record in Web of Science")</f>
        <v>View Full Record in Web of Science</v>
      </c>
    </row>
    <row r="931" spans="1:72" x14ac:dyDescent="0.15">
      <c r="A931" t="s">
        <v>72</v>
      </c>
      <c r="B931" t="s">
        <v>11887</v>
      </c>
      <c r="C931" t="s">
        <v>74</v>
      </c>
      <c r="D931" t="s">
        <v>74</v>
      </c>
      <c r="E931" t="s">
        <v>74</v>
      </c>
      <c r="F931" t="s">
        <v>11887</v>
      </c>
      <c r="G931" t="s">
        <v>74</v>
      </c>
      <c r="H931" t="s">
        <v>74</v>
      </c>
      <c r="I931" t="s">
        <v>11888</v>
      </c>
      <c r="J931" t="s">
        <v>11889</v>
      </c>
      <c r="K931" t="s">
        <v>74</v>
      </c>
      <c r="L931" t="s">
        <v>74</v>
      </c>
      <c r="M931" t="s">
        <v>77</v>
      </c>
      <c r="N931" t="s">
        <v>78</v>
      </c>
      <c r="O931" t="s">
        <v>74</v>
      </c>
      <c r="P931" t="s">
        <v>74</v>
      </c>
      <c r="Q931" t="s">
        <v>74</v>
      </c>
      <c r="R931" t="s">
        <v>74</v>
      </c>
      <c r="S931" t="s">
        <v>74</v>
      </c>
      <c r="T931" t="s">
        <v>11890</v>
      </c>
      <c r="U931" t="s">
        <v>74</v>
      </c>
      <c r="V931" t="s">
        <v>11891</v>
      </c>
      <c r="W931" t="s">
        <v>11892</v>
      </c>
      <c r="X931" t="s">
        <v>1840</v>
      </c>
      <c r="Y931" t="s">
        <v>11893</v>
      </c>
      <c r="Z931" t="s">
        <v>74</v>
      </c>
      <c r="AA931" t="s">
        <v>74</v>
      </c>
      <c r="AB931" t="s">
        <v>11894</v>
      </c>
      <c r="AC931" t="s">
        <v>74</v>
      </c>
      <c r="AD931" t="s">
        <v>74</v>
      </c>
      <c r="AE931" t="s">
        <v>74</v>
      </c>
      <c r="AF931" t="s">
        <v>74</v>
      </c>
      <c r="AG931">
        <v>34</v>
      </c>
      <c r="AH931">
        <v>6</v>
      </c>
      <c r="AI931">
        <v>8</v>
      </c>
      <c r="AJ931">
        <v>0</v>
      </c>
      <c r="AK931">
        <v>0</v>
      </c>
      <c r="AL931" t="s">
        <v>11895</v>
      </c>
      <c r="AM931" t="s">
        <v>11896</v>
      </c>
      <c r="AN931" t="s">
        <v>11897</v>
      </c>
      <c r="AO931" t="s">
        <v>11898</v>
      </c>
      <c r="AP931" t="s">
        <v>74</v>
      </c>
      <c r="AQ931" t="s">
        <v>74</v>
      </c>
      <c r="AR931" t="s">
        <v>11899</v>
      </c>
      <c r="AS931" t="s">
        <v>11900</v>
      </c>
      <c r="AT931" t="s">
        <v>74</v>
      </c>
      <c r="AU931">
        <v>1999</v>
      </c>
      <c r="AV931">
        <v>36</v>
      </c>
      <c r="AW931">
        <v>1</v>
      </c>
      <c r="AX931" t="s">
        <v>74</v>
      </c>
      <c r="AY931" t="s">
        <v>74</v>
      </c>
      <c r="AZ931" t="s">
        <v>74</v>
      </c>
      <c r="BA931" t="s">
        <v>74</v>
      </c>
      <c r="BB931">
        <v>51</v>
      </c>
      <c r="BC931">
        <v>58</v>
      </c>
      <c r="BD931" t="s">
        <v>74</v>
      </c>
      <c r="BE931" t="s">
        <v>74</v>
      </c>
      <c r="BF931" t="s">
        <v>74</v>
      </c>
      <c r="BG931" t="s">
        <v>74</v>
      </c>
      <c r="BH931" t="s">
        <v>74</v>
      </c>
      <c r="BI931">
        <v>8</v>
      </c>
      <c r="BJ931" t="s">
        <v>5977</v>
      </c>
      <c r="BK931" t="s">
        <v>96</v>
      </c>
      <c r="BL931" t="s">
        <v>5977</v>
      </c>
      <c r="BM931" t="s">
        <v>11901</v>
      </c>
      <c r="BN931" t="s">
        <v>74</v>
      </c>
      <c r="BO931" t="s">
        <v>74</v>
      </c>
      <c r="BP931" t="s">
        <v>74</v>
      </c>
      <c r="BQ931" t="s">
        <v>74</v>
      </c>
      <c r="BR931" t="s">
        <v>99</v>
      </c>
      <c r="BS931" t="s">
        <v>11902</v>
      </c>
      <c r="BT931" t="str">
        <f>HYPERLINK("https%3A%2F%2Fwww.webofscience.com%2Fwos%2Fwoscc%2Ffull-record%2FWOS:000080059900007","View Full Record in Web of Science")</f>
        <v>View Full Record in Web of Science</v>
      </c>
    </row>
    <row r="932" spans="1:72" x14ac:dyDescent="0.15">
      <c r="A932" t="s">
        <v>1295</v>
      </c>
      <c r="B932" t="s">
        <v>11903</v>
      </c>
      <c r="C932" t="s">
        <v>74</v>
      </c>
      <c r="D932" t="s">
        <v>11904</v>
      </c>
      <c r="E932" t="s">
        <v>74</v>
      </c>
      <c r="F932" t="s">
        <v>11903</v>
      </c>
      <c r="G932" t="s">
        <v>74</v>
      </c>
      <c r="H932" t="s">
        <v>74</v>
      </c>
      <c r="I932" t="s">
        <v>11905</v>
      </c>
      <c r="J932" t="s">
        <v>11906</v>
      </c>
      <c r="K932" t="s">
        <v>11906</v>
      </c>
      <c r="L932" t="s">
        <v>74</v>
      </c>
      <c r="M932" t="s">
        <v>77</v>
      </c>
      <c r="N932" t="s">
        <v>123</v>
      </c>
      <c r="O932" t="s">
        <v>11907</v>
      </c>
      <c r="P932" t="s">
        <v>11908</v>
      </c>
      <c r="Q932" t="s">
        <v>11909</v>
      </c>
      <c r="R932" t="s">
        <v>74</v>
      </c>
      <c r="S932" t="s">
        <v>74</v>
      </c>
      <c r="T932" t="s">
        <v>74</v>
      </c>
      <c r="U932" t="s">
        <v>11910</v>
      </c>
      <c r="V932" t="s">
        <v>11911</v>
      </c>
      <c r="W932" t="s">
        <v>151</v>
      </c>
      <c r="X932" t="s">
        <v>131</v>
      </c>
      <c r="Y932" t="s">
        <v>11912</v>
      </c>
      <c r="Z932" t="s">
        <v>74</v>
      </c>
      <c r="AA932" t="s">
        <v>11913</v>
      </c>
      <c r="AB932" t="s">
        <v>11914</v>
      </c>
      <c r="AC932" t="s">
        <v>74</v>
      </c>
      <c r="AD932" t="s">
        <v>74</v>
      </c>
      <c r="AE932" t="s">
        <v>74</v>
      </c>
      <c r="AF932" t="s">
        <v>74</v>
      </c>
      <c r="AG932">
        <v>38</v>
      </c>
      <c r="AH932">
        <v>34</v>
      </c>
      <c r="AI932">
        <v>36</v>
      </c>
      <c r="AJ932">
        <v>0</v>
      </c>
      <c r="AK932">
        <v>6</v>
      </c>
      <c r="AL932" t="s">
        <v>11915</v>
      </c>
      <c r="AM932" t="s">
        <v>2505</v>
      </c>
      <c r="AN932" t="s">
        <v>11916</v>
      </c>
      <c r="AO932" t="s">
        <v>11917</v>
      </c>
      <c r="AP932" t="s">
        <v>74</v>
      </c>
      <c r="AQ932" t="s">
        <v>11918</v>
      </c>
      <c r="AR932" t="s">
        <v>11919</v>
      </c>
      <c r="AS932" t="s">
        <v>74</v>
      </c>
      <c r="AT932" t="s">
        <v>74</v>
      </c>
      <c r="AU932">
        <v>1999</v>
      </c>
      <c r="AV932">
        <v>28</v>
      </c>
      <c r="AW932" t="s">
        <v>74</v>
      </c>
      <c r="AX932" t="s">
        <v>74</v>
      </c>
      <c r="AY932" t="s">
        <v>74</v>
      </c>
      <c r="AZ932" t="s">
        <v>74</v>
      </c>
      <c r="BA932" t="s">
        <v>74</v>
      </c>
      <c r="BB932">
        <v>221</v>
      </c>
      <c r="BC932">
        <v>230</v>
      </c>
      <c r="BD932" t="s">
        <v>74</v>
      </c>
      <c r="BE932" t="s">
        <v>11920</v>
      </c>
      <c r="BF932" t="str">
        <f>HYPERLINK("http://dx.doi.org/10.3189/172756499781821931","http://dx.doi.org/10.3189/172756499781821931")</f>
        <v>http://dx.doi.org/10.3189/172756499781821931</v>
      </c>
      <c r="BG932" t="s">
        <v>74</v>
      </c>
      <c r="BH932" t="s">
        <v>74</v>
      </c>
      <c r="BI932">
        <v>10</v>
      </c>
      <c r="BJ932" t="s">
        <v>11921</v>
      </c>
      <c r="BK932" t="s">
        <v>143</v>
      </c>
      <c r="BL932" t="s">
        <v>11922</v>
      </c>
      <c r="BM932" t="s">
        <v>11923</v>
      </c>
      <c r="BN932" t="s">
        <v>74</v>
      </c>
      <c r="BO932" t="s">
        <v>250</v>
      </c>
      <c r="BP932" t="s">
        <v>74</v>
      </c>
      <c r="BQ932" t="s">
        <v>74</v>
      </c>
      <c r="BR932" t="s">
        <v>99</v>
      </c>
      <c r="BS932" t="s">
        <v>11924</v>
      </c>
      <c r="BT932" t="str">
        <f>HYPERLINK("https%3A%2F%2Fwww.webofscience.com%2Fwos%2Fwoscc%2Ffull-record%2FWOS:000084312000033","View Full Record in Web of Science")</f>
        <v>View Full Record in Web of Science</v>
      </c>
    </row>
    <row r="933" spans="1:72" x14ac:dyDescent="0.15">
      <c r="A933" t="s">
        <v>1295</v>
      </c>
      <c r="B933" t="s">
        <v>11925</v>
      </c>
      <c r="C933" t="s">
        <v>74</v>
      </c>
      <c r="D933" t="s">
        <v>11904</v>
      </c>
      <c r="E933" t="s">
        <v>74</v>
      </c>
      <c r="F933" t="s">
        <v>11925</v>
      </c>
      <c r="G933" t="s">
        <v>74</v>
      </c>
      <c r="H933" t="s">
        <v>74</v>
      </c>
      <c r="I933" t="s">
        <v>11926</v>
      </c>
      <c r="J933" t="s">
        <v>11906</v>
      </c>
      <c r="K933" t="s">
        <v>11906</v>
      </c>
      <c r="L933" t="s">
        <v>74</v>
      </c>
      <c r="M933" t="s">
        <v>77</v>
      </c>
      <c r="N933" t="s">
        <v>123</v>
      </c>
      <c r="O933" t="s">
        <v>11907</v>
      </c>
      <c r="P933" t="s">
        <v>11908</v>
      </c>
      <c r="Q933" t="s">
        <v>11909</v>
      </c>
      <c r="R933" t="s">
        <v>74</v>
      </c>
      <c r="S933" t="s">
        <v>74</v>
      </c>
      <c r="T933" t="s">
        <v>74</v>
      </c>
      <c r="U933" t="s">
        <v>11927</v>
      </c>
      <c r="V933" t="s">
        <v>11928</v>
      </c>
      <c r="W933" t="s">
        <v>11929</v>
      </c>
      <c r="X933" t="s">
        <v>11930</v>
      </c>
      <c r="Y933" t="s">
        <v>11931</v>
      </c>
      <c r="Z933" t="s">
        <v>74</v>
      </c>
      <c r="AA933" t="s">
        <v>74</v>
      </c>
      <c r="AB933" t="s">
        <v>74</v>
      </c>
      <c r="AC933" t="s">
        <v>74</v>
      </c>
      <c r="AD933" t="s">
        <v>74</v>
      </c>
      <c r="AE933" t="s">
        <v>74</v>
      </c>
      <c r="AF933" t="s">
        <v>74</v>
      </c>
      <c r="AG933">
        <v>21</v>
      </c>
      <c r="AH933">
        <v>15</v>
      </c>
      <c r="AI933">
        <v>17</v>
      </c>
      <c r="AJ933">
        <v>0</v>
      </c>
      <c r="AK933">
        <v>6</v>
      </c>
      <c r="AL933" t="s">
        <v>11915</v>
      </c>
      <c r="AM933" t="s">
        <v>2505</v>
      </c>
      <c r="AN933" t="s">
        <v>11916</v>
      </c>
      <c r="AO933" t="s">
        <v>11917</v>
      </c>
      <c r="AP933" t="s">
        <v>74</v>
      </c>
      <c r="AQ933" t="s">
        <v>11918</v>
      </c>
      <c r="AR933" t="s">
        <v>11919</v>
      </c>
      <c r="AS933" t="s">
        <v>74</v>
      </c>
      <c r="AT933" t="s">
        <v>74</v>
      </c>
      <c r="AU933">
        <v>1999</v>
      </c>
      <c r="AV933">
        <v>28</v>
      </c>
      <c r="AW933" t="s">
        <v>74</v>
      </c>
      <c r="AX933" t="s">
        <v>74</v>
      </c>
      <c r="AY933" t="s">
        <v>74</v>
      </c>
      <c r="AZ933" t="s">
        <v>74</v>
      </c>
      <c r="BA933" t="s">
        <v>74</v>
      </c>
      <c r="BB933">
        <v>277</v>
      </c>
      <c r="BC933">
        <v>281</v>
      </c>
      <c r="BD933" t="s">
        <v>74</v>
      </c>
      <c r="BE933" t="s">
        <v>11932</v>
      </c>
      <c r="BF933" t="str">
        <f>HYPERLINK("http://dx.doi.org/10.3189/172756499781822011","http://dx.doi.org/10.3189/172756499781822011")</f>
        <v>http://dx.doi.org/10.3189/172756499781822011</v>
      </c>
      <c r="BG933" t="s">
        <v>74</v>
      </c>
      <c r="BH933" t="s">
        <v>74</v>
      </c>
      <c r="BI933">
        <v>5</v>
      </c>
      <c r="BJ933" t="s">
        <v>11921</v>
      </c>
      <c r="BK933" t="s">
        <v>143</v>
      </c>
      <c r="BL933" t="s">
        <v>11922</v>
      </c>
      <c r="BM933" t="s">
        <v>11923</v>
      </c>
      <c r="BN933" t="s">
        <v>74</v>
      </c>
      <c r="BO933" t="s">
        <v>1505</v>
      </c>
      <c r="BP933" t="s">
        <v>74</v>
      </c>
      <c r="BQ933" t="s">
        <v>74</v>
      </c>
      <c r="BR933" t="s">
        <v>99</v>
      </c>
      <c r="BS933" t="s">
        <v>11933</v>
      </c>
      <c r="BT933" t="str">
        <f>HYPERLINK("https%3A%2F%2Fwww.webofscience.com%2Fwos%2Fwoscc%2Ffull-record%2FWOS:000084312000042","View Full Record in Web of Science")</f>
        <v>View Full Record in Web of Science</v>
      </c>
    </row>
    <row r="934" spans="1:72" x14ac:dyDescent="0.15">
      <c r="A934" t="s">
        <v>1295</v>
      </c>
      <c r="B934" t="s">
        <v>11934</v>
      </c>
      <c r="C934" t="s">
        <v>74</v>
      </c>
      <c r="D934" t="s">
        <v>11904</v>
      </c>
      <c r="E934" t="s">
        <v>74</v>
      </c>
      <c r="F934" t="s">
        <v>11934</v>
      </c>
      <c r="G934" t="s">
        <v>74</v>
      </c>
      <c r="H934" t="s">
        <v>74</v>
      </c>
      <c r="I934" t="s">
        <v>11935</v>
      </c>
      <c r="J934" t="s">
        <v>11936</v>
      </c>
      <c r="K934" t="s">
        <v>11937</v>
      </c>
      <c r="L934" t="s">
        <v>74</v>
      </c>
      <c r="M934" t="s">
        <v>77</v>
      </c>
      <c r="N934" t="s">
        <v>123</v>
      </c>
      <c r="O934" t="s">
        <v>11907</v>
      </c>
      <c r="P934" t="s">
        <v>11908</v>
      </c>
      <c r="Q934" t="s">
        <v>11909</v>
      </c>
      <c r="R934" t="s">
        <v>74</v>
      </c>
      <c r="S934" t="s">
        <v>74</v>
      </c>
      <c r="T934" t="s">
        <v>74</v>
      </c>
      <c r="U934" t="s">
        <v>11938</v>
      </c>
      <c r="V934" t="s">
        <v>11939</v>
      </c>
      <c r="W934" t="s">
        <v>11940</v>
      </c>
      <c r="X934" t="s">
        <v>11941</v>
      </c>
      <c r="Y934" t="s">
        <v>11942</v>
      </c>
      <c r="Z934" t="s">
        <v>74</v>
      </c>
      <c r="AA934" t="s">
        <v>11943</v>
      </c>
      <c r="AB934" t="s">
        <v>11944</v>
      </c>
      <c r="AC934" t="s">
        <v>74</v>
      </c>
      <c r="AD934" t="s">
        <v>74</v>
      </c>
      <c r="AE934" t="s">
        <v>74</v>
      </c>
      <c r="AF934" t="s">
        <v>74</v>
      </c>
      <c r="AG934">
        <v>45</v>
      </c>
      <c r="AH934">
        <v>27</v>
      </c>
      <c r="AI934">
        <v>29</v>
      </c>
      <c r="AJ934">
        <v>0</v>
      </c>
      <c r="AK934">
        <v>10</v>
      </c>
      <c r="AL934" t="s">
        <v>11915</v>
      </c>
      <c r="AM934" t="s">
        <v>2505</v>
      </c>
      <c r="AN934" t="s">
        <v>11945</v>
      </c>
      <c r="AO934" t="s">
        <v>11917</v>
      </c>
      <c r="AP934" t="s">
        <v>74</v>
      </c>
      <c r="AQ934" t="s">
        <v>11918</v>
      </c>
      <c r="AR934" t="s">
        <v>11946</v>
      </c>
      <c r="AS934" t="s">
        <v>74</v>
      </c>
      <c r="AT934" t="s">
        <v>74</v>
      </c>
      <c r="AU934">
        <v>1999</v>
      </c>
      <c r="AV934">
        <v>28</v>
      </c>
      <c r="AW934" t="s">
        <v>74</v>
      </c>
      <c r="AX934" t="s">
        <v>74</v>
      </c>
      <c r="AY934" t="s">
        <v>74</v>
      </c>
      <c r="AZ934" t="s">
        <v>74</v>
      </c>
      <c r="BA934" t="s">
        <v>74</v>
      </c>
      <c r="BB934">
        <v>1</v>
      </c>
      <c r="BC934">
        <v>8</v>
      </c>
      <c r="BD934" t="s">
        <v>74</v>
      </c>
      <c r="BE934" t="s">
        <v>11947</v>
      </c>
      <c r="BF934" t="str">
        <f>HYPERLINK("http://dx.doi.org/10.3189/172756499781821643","http://dx.doi.org/10.3189/172756499781821643")</f>
        <v>http://dx.doi.org/10.3189/172756499781821643</v>
      </c>
      <c r="BG934" t="s">
        <v>74</v>
      </c>
      <c r="BH934" t="s">
        <v>74</v>
      </c>
      <c r="BI934">
        <v>8</v>
      </c>
      <c r="BJ934" t="s">
        <v>11921</v>
      </c>
      <c r="BK934" t="s">
        <v>143</v>
      </c>
      <c r="BL934" t="s">
        <v>11922</v>
      </c>
      <c r="BM934" t="s">
        <v>11923</v>
      </c>
      <c r="BN934" t="s">
        <v>74</v>
      </c>
      <c r="BO934" t="s">
        <v>2755</v>
      </c>
      <c r="BP934" t="s">
        <v>74</v>
      </c>
      <c r="BQ934" t="s">
        <v>74</v>
      </c>
      <c r="BR934" t="s">
        <v>99</v>
      </c>
      <c r="BS934" t="s">
        <v>11948</v>
      </c>
      <c r="BT934" t="str">
        <f>HYPERLINK("https%3A%2F%2Fwww.webofscience.com%2Fwos%2Fwoscc%2Ffull-record%2FWOS:000084312000001","View Full Record in Web of Science")</f>
        <v>View Full Record in Web of Science</v>
      </c>
    </row>
    <row r="935" spans="1:72" x14ac:dyDescent="0.15">
      <c r="A935" t="s">
        <v>1295</v>
      </c>
      <c r="B935" t="s">
        <v>11949</v>
      </c>
      <c r="C935" t="s">
        <v>74</v>
      </c>
      <c r="D935" t="s">
        <v>11904</v>
      </c>
      <c r="E935" t="s">
        <v>74</v>
      </c>
      <c r="F935" t="s">
        <v>11949</v>
      </c>
      <c r="G935" t="s">
        <v>74</v>
      </c>
      <c r="H935" t="s">
        <v>74</v>
      </c>
      <c r="I935" t="s">
        <v>11950</v>
      </c>
      <c r="J935" t="s">
        <v>11936</v>
      </c>
      <c r="K935" t="s">
        <v>11937</v>
      </c>
      <c r="L935" t="s">
        <v>74</v>
      </c>
      <c r="M935" t="s">
        <v>77</v>
      </c>
      <c r="N935" t="s">
        <v>123</v>
      </c>
      <c r="O935" t="s">
        <v>11907</v>
      </c>
      <c r="P935" t="s">
        <v>11908</v>
      </c>
      <c r="Q935" t="s">
        <v>11909</v>
      </c>
      <c r="R935" t="s">
        <v>74</v>
      </c>
      <c r="S935" t="s">
        <v>74</v>
      </c>
      <c r="T935" t="s">
        <v>74</v>
      </c>
      <c r="U935" t="s">
        <v>11951</v>
      </c>
      <c r="V935" t="s">
        <v>11952</v>
      </c>
      <c r="W935" t="s">
        <v>11953</v>
      </c>
      <c r="X935" t="s">
        <v>10972</v>
      </c>
      <c r="Y935" t="s">
        <v>11954</v>
      </c>
      <c r="Z935" t="s">
        <v>74</v>
      </c>
      <c r="AA935" t="s">
        <v>11955</v>
      </c>
      <c r="AB935" t="s">
        <v>11956</v>
      </c>
      <c r="AC935" t="s">
        <v>74</v>
      </c>
      <c r="AD935" t="s">
        <v>74</v>
      </c>
      <c r="AE935" t="s">
        <v>74</v>
      </c>
      <c r="AF935" t="s">
        <v>74</v>
      </c>
      <c r="AG935">
        <v>41</v>
      </c>
      <c r="AH935">
        <v>15</v>
      </c>
      <c r="AI935">
        <v>16</v>
      </c>
      <c r="AJ935">
        <v>0</v>
      </c>
      <c r="AK935">
        <v>7</v>
      </c>
      <c r="AL935" t="s">
        <v>11915</v>
      </c>
      <c r="AM935" t="s">
        <v>2505</v>
      </c>
      <c r="AN935" t="s">
        <v>11945</v>
      </c>
      <c r="AO935" t="s">
        <v>11917</v>
      </c>
      <c r="AP935" t="s">
        <v>74</v>
      </c>
      <c r="AQ935" t="s">
        <v>11918</v>
      </c>
      <c r="AR935" t="s">
        <v>11946</v>
      </c>
      <c r="AS935" t="s">
        <v>74</v>
      </c>
      <c r="AT935" t="s">
        <v>74</v>
      </c>
      <c r="AU935">
        <v>1999</v>
      </c>
      <c r="AV935">
        <v>28</v>
      </c>
      <c r="AW935" t="s">
        <v>74</v>
      </c>
      <c r="AX935" t="s">
        <v>74</v>
      </c>
      <c r="AY935" t="s">
        <v>74</v>
      </c>
      <c r="AZ935" t="s">
        <v>74</v>
      </c>
      <c r="BA935" t="s">
        <v>74</v>
      </c>
      <c r="BB935">
        <v>111</v>
      </c>
      <c r="BC935">
        <v>117</v>
      </c>
      <c r="BD935" t="s">
        <v>74</v>
      </c>
      <c r="BE935" t="s">
        <v>11957</v>
      </c>
      <c r="BF935" t="str">
        <f>HYPERLINK("http://dx.doi.org/10.3189/172756499781821913","http://dx.doi.org/10.3189/172756499781821913")</f>
        <v>http://dx.doi.org/10.3189/172756499781821913</v>
      </c>
      <c r="BG935" t="s">
        <v>74</v>
      </c>
      <c r="BH935" t="s">
        <v>74</v>
      </c>
      <c r="BI935">
        <v>7</v>
      </c>
      <c r="BJ935" t="s">
        <v>11921</v>
      </c>
      <c r="BK935" t="s">
        <v>143</v>
      </c>
      <c r="BL935" t="s">
        <v>11922</v>
      </c>
      <c r="BM935" t="s">
        <v>11923</v>
      </c>
      <c r="BN935" t="s">
        <v>74</v>
      </c>
      <c r="BO935" t="s">
        <v>1505</v>
      </c>
      <c r="BP935" t="s">
        <v>74</v>
      </c>
      <c r="BQ935" t="s">
        <v>74</v>
      </c>
      <c r="BR935" t="s">
        <v>99</v>
      </c>
      <c r="BS935" t="s">
        <v>11958</v>
      </c>
      <c r="BT935" t="str">
        <f>HYPERLINK("https%3A%2F%2Fwww.webofscience.com%2Fwos%2Fwoscc%2Ffull-record%2FWOS:000084312000016","View Full Record in Web of Science")</f>
        <v>View Full Record in Web of Science</v>
      </c>
    </row>
    <row r="936" spans="1:72" x14ac:dyDescent="0.15">
      <c r="A936" t="s">
        <v>1295</v>
      </c>
      <c r="B936" t="s">
        <v>11959</v>
      </c>
      <c r="C936" t="s">
        <v>74</v>
      </c>
      <c r="D936" t="s">
        <v>11960</v>
      </c>
      <c r="E936" t="s">
        <v>74</v>
      </c>
      <c r="F936" t="s">
        <v>11959</v>
      </c>
      <c r="G936" t="s">
        <v>74</v>
      </c>
      <c r="H936" t="s">
        <v>74</v>
      </c>
      <c r="I936" t="s">
        <v>11961</v>
      </c>
      <c r="J936" t="s">
        <v>11962</v>
      </c>
      <c r="K936" t="s">
        <v>11906</v>
      </c>
      <c r="L936" t="s">
        <v>74</v>
      </c>
      <c r="M936" t="s">
        <v>77</v>
      </c>
      <c r="N936" t="s">
        <v>123</v>
      </c>
      <c r="O936" t="s">
        <v>11963</v>
      </c>
      <c r="P936" t="s">
        <v>11964</v>
      </c>
      <c r="Q936" t="s">
        <v>11965</v>
      </c>
      <c r="R936" t="s">
        <v>74</v>
      </c>
      <c r="S936" t="s">
        <v>11966</v>
      </c>
      <c r="T936" t="s">
        <v>74</v>
      </c>
      <c r="U936" t="s">
        <v>11967</v>
      </c>
      <c r="V936" t="s">
        <v>11968</v>
      </c>
      <c r="W936" t="s">
        <v>11969</v>
      </c>
      <c r="X936" t="s">
        <v>11970</v>
      </c>
      <c r="Y936" t="s">
        <v>11971</v>
      </c>
      <c r="Z936" t="s">
        <v>74</v>
      </c>
      <c r="AA936" t="s">
        <v>11972</v>
      </c>
      <c r="AB936" t="s">
        <v>11973</v>
      </c>
      <c r="AC936" t="s">
        <v>74</v>
      </c>
      <c r="AD936" t="s">
        <v>74</v>
      </c>
      <c r="AE936" t="s">
        <v>74</v>
      </c>
      <c r="AF936" t="s">
        <v>74</v>
      </c>
      <c r="AG936">
        <v>20</v>
      </c>
      <c r="AH936">
        <v>56</v>
      </c>
      <c r="AI936">
        <v>62</v>
      </c>
      <c r="AJ936">
        <v>0</v>
      </c>
      <c r="AK936">
        <v>4</v>
      </c>
      <c r="AL936" t="s">
        <v>11915</v>
      </c>
      <c r="AM936" t="s">
        <v>2505</v>
      </c>
      <c r="AN936" t="s">
        <v>11916</v>
      </c>
      <c r="AO936" t="s">
        <v>11917</v>
      </c>
      <c r="AP936" t="s">
        <v>74</v>
      </c>
      <c r="AQ936" t="s">
        <v>11974</v>
      </c>
      <c r="AR936" t="s">
        <v>11919</v>
      </c>
      <c r="AS936" t="s">
        <v>74</v>
      </c>
      <c r="AT936" t="s">
        <v>74</v>
      </c>
      <c r="AU936">
        <v>1999</v>
      </c>
      <c r="AV936">
        <v>29</v>
      </c>
      <c r="AW936" t="s">
        <v>74</v>
      </c>
      <c r="AX936" t="s">
        <v>74</v>
      </c>
      <c r="AY936" t="s">
        <v>74</v>
      </c>
      <c r="AZ936" t="s">
        <v>74</v>
      </c>
      <c r="BA936" t="s">
        <v>74</v>
      </c>
      <c r="BB936">
        <v>1</v>
      </c>
      <c r="BC936">
        <v>9</v>
      </c>
      <c r="BD936" t="s">
        <v>74</v>
      </c>
      <c r="BE936" t="s">
        <v>11975</v>
      </c>
      <c r="BF936" t="str">
        <f>HYPERLINK("http://dx.doi.org/10.3189/172756499781820914","http://dx.doi.org/10.3189/172756499781820914")</f>
        <v>http://dx.doi.org/10.3189/172756499781820914</v>
      </c>
      <c r="BG936" t="s">
        <v>74</v>
      </c>
      <c r="BH936" t="s">
        <v>74</v>
      </c>
      <c r="BI936">
        <v>9</v>
      </c>
      <c r="BJ936" t="s">
        <v>11976</v>
      </c>
      <c r="BK936" t="s">
        <v>143</v>
      </c>
      <c r="BL936" t="s">
        <v>11977</v>
      </c>
      <c r="BM936" t="s">
        <v>11978</v>
      </c>
      <c r="BN936" t="s">
        <v>74</v>
      </c>
      <c r="BO936" t="s">
        <v>250</v>
      </c>
      <c r="BP936" t="s">
        <v>74</v>
      </c>
      <c r="BQ936" t="s">
        <v>74</v>
      </c>
      <c r="BR936" t="s">
        <v>99</v>
      </c>
      <c r="BS936" t="s">
        <v>11979</v>
      </c>
      <c r="BT936" t="str">
        <f>HYPERLINK("https%3A%2F%2Fwww.webofscience.com%2Fwos%2Fwoscc%2Ffull-record%2FWOS:000086691400001","View Full Record in Web of Science")</f>
        <v>View Full Record in Web of Science</v>
      </c>
    </row>
    <row r="937" spans="1:72" x14ac:dyDescent="0.15">
      <c r="A937" t="s">
        <v>1295</v>
      </c>
      <c r="B937" t="s">
        <v>11980</v>
      </c>
      <c r="C937" t="s">
        <v>74</v>
      </c>
      <c r="D937" t="s">
        <v>11960</v>
      </c>
      <c r="E937" t="s">
        <v>74</v>
      </c>
      <c r="F937" t="s">
        <v>11980</v>
      </c>
      <c r="G937" t="s">
        <v>74</v>
      </c>
      <c r="H937" t="s">
        <v>74</v>
      </c>
      <c r="I937" t="s">
        <v>11981</v>
      </c>
      <c r="J937" t="s">
        <v>11962</v>
      </c>
      <c r="K937" t="s">
        <v>11906</v>
      </c>
      <c r="L937" t="s">
        <v>74</v>
      </c>
      <c r="M937" t="s">
        <v>77</v>
      </c>
      <c r="N937" t="s">
        <v>123</v>
      </c>
      <c r="O937" t="s">
        <v>11963</v>
      </c>
      <c r="P937" t="s">
        <v>11964</v>
      </c>
      <c r="Q937" t="s">
        <v>11965</v>
      </c>
      <c r="R937" t="s">
        <v>74</v>
      </c>
      <c r="S937" t="s">
        <v>11966</v>
      </c>
      <c r="T937" t="s">
        <v>74</v>
      </c>
      <c r="U937" t="s">
        <v>11982</v>
      </c>
      <c r="V937" t="s">
        <v>11983</v>
      </c>
      <c r="W937" t="s">
        <v>11984</v>
      </c>
      <c r="X937" t="s">
        <v>11985</v>
      </c>
      <c r="Y937" t="s">
        <v>11986</v>
      </c>
      <c r="Z937" t="s">
        <v>74</v>
      </c>
      <c r="AA937" t="s">
        <v>74</v>
      </c>
      <c r="AB937" t="s">
        <v>74</v>
      </c>
      <c r="AC937" t="s">
        <v>74</v>
      </c>
      <c r="AD937" t="s">
        <v>74</v>
      </c>
      <c r="AE937" t="s">
        <v>74</v>
      </c>
      <c r="AF937" t="s">
        <v>74</v>
      </c>
      <c r="AG937">
        <v>22</v>
      </c>
      <c r="AH937">
        <v>36</v>
      </c>
      <c r="AI937">
        <v>36</v>
      </c>
      <c r="AJ937">
        <v>1</v>
      </c>
      <c r="AK937">
        <v>9</v>
      </c>
      <c r="AL937" t="s">
        <v>11915</v>
      </c>
      <c r="AM937" t="s">
        <v>2505</v>
      </c>
      <c r="AN937" t="s">
        <v>11916</v>
      </c>
      <c r="AO937" t="s">
        <v>11917</v>
      </c>
      <c r="AP937" t="s">
        <v>74</v>
      </c>
      <c r="AQ937" t="s">
        <v>11974</v>
      </c>
      <c r="AR937" t="s">
        <v>11919</v>
      </c>
      <c r="AS937" t="s">
        <v>74</v>
      </c>
      <c r="AT937" t="s">
        <v>74</v>
      </c>
      <c r="AU937">
        <v>1999</v>
      </c>
      <c r="AV937">
        <v>29</v>
      </c>
      <c r="AW937" t="s">
        <v>74</v>
      </c>
      <c r="AX937" t="s">
        <v>74</v>
      </c>
      <c r="AY937" t="s">
        <v>74</v>
      </c>
      <c r="AZ937" t="s">
        <v>74</v>
      </c>
      <c r="BA937" t="s">
        <v>74</v>
      </c>
      <c r="BB937">
        <v>10</v>
      </c>
      <c r="BC937">
        <v>16</v>
      </c>
      <c r="BD937" t="s">
        <v>74</v>
      </c>
      <c r="BE937" t="s">
        <v>11987</v>
      </c>
      <c r="BF937" t="str">
        <f>HYPERLINK("http://dx.doi.org/10.3189/172756499781820905","http://dx.doi.org/10.3189/172756499781820905")</f>
        <v>http://dx.doi.org/10.3189/172756499781820905</v>
      </c>
      <c r="BG937" t="s">
        <v>74</v>
      </c>
      <c r="BH937" t="s">
        <v>74</v>
      </c>
      <c r="BI937">
        <v>7</v>
      </c>
      <c r="BJ937" t="s">
        <v>11976</v>
      </c>
      <c r="BK937" t="s">
        <v>143</v>
      </c>
      <c r="BL937" t="s">
        <v>11977</v>
      </c>
      <c r="BM937" t="s">
        <v>11978</v>
      </c>
      <c r="BN937" t="s">
        <v>74</v>
      </c>
      <c r="BO937" t="s">
        <v>250</v>
      </c>
      <c r="BP937" t="s">
        <v>74</v>
      </c>
      <c r="BQ937" t="s">
        <v>74</v>
      </c>
      <c r="BR937" t="s">
        <v>99</v>
      </c>
      <c r="BS937" t="s">
        <v>11988</v>
      </c>
      <c r="BT937" t="str">
        <f>HYPERLINK("https%3A%2F%2Fwww.webofscience.com%2Fwos%2Fwoscc%2Ffull-record%2FWOS:000086691400002","View Full Record in Web of Science")</f>
        <v>View Full Record in Web of Science</v>
      </c>
    </row>
    <row r="938" spans="1:72" x14ac:dyDescent="0.15">
      <c r="A938" t="s">
        <v>1295</v>
      </c>
      <c r="B938" t="s">
        <v>11989</v>
      </c>
      <c r="C938" t="s">
        <v>74</v>
      </c>
      <c r="D938" t="s">
        <v>11960</v>
      </c>
      <c r="E938" t="s">
        <v>74</v>
      </c>
      <c r="F938" t="s">
        <v>11989</v>
      </c>
      <c r="G938" t="s">
        <v>74</v>
      </c>
      <c r="H938" t="s">
        <v>74</v>
      </c>
      <c r="I938" t="s">
        <v>11990</v>
      </c>
      <c r="J938" t="s">
        <v>11962</v>
      </c>
      <c r="K938" t="s">
        <v>11937</v>
      </c>
      <c r="L938" t="s">
        <v>74</v>
      </c>
      <c r="M938" t="s">
        <v>77</v>
      </c>
      <c r="N938" t="s">
        <v>123</v>
      </c>
      <c r="O938" t="s">
        <v>11963</v>
      </c>
      <c r="P938" t="s">
        <v>11964</v>
      </c>
      <c r="Q938" t="s">
        <v>11965</v>
      </c>
      <c r="R938" t="s">
        <v>74</v>
      </c>
      <c r="S938" t="s">
        <v>11966</v>
      </c>
      <c r="T938" t="s">
        <v>74</v>
      </c>
      <c r="U938" t="s">
        <v>11991</v>
      </c>
      <c r="V938" t="s">
        <v>11992</v>
      </c>
      <c r="W938" t="s">
        <v>11993</v>
      </c>
      <c r="X938" t="s">
        <v>11994</v>
      </c>
      <c r="Y938" t="s">
        <v>11995</v>
      </c>
      <c r="Z938" t="s">
        <v>74</v>
      </c>
      <c r="AA938" t="s">
        <v>11996</v>
      </c>
      <c r="AB938" t="s">
        <v>11997</v>
      </c>
      <c r="AC938" t="s">
        <v>74</v>
      </c>
      <c r="AD938" t="s">
        <v>74</v>
      </c>
      <c r="AE938" t="s">
        <v>74</v>
      </c>
      <c r="AF938" t="s">
        <v>74</v>
      </c>
      <c r="AG938">
        <v>23</v>
      </c>
      <c r="AH938">
        <v>34</v>
      </c>
      <c r="AI938">
        <v>38</v>
      </c>
      <c r="AJ938">
        <v>1</v>
      </c>
      <c r="AK938">
        <v>4</v>
      </c>
      <c r="AL938" t="s">
        <v>11915</v>
      </c>
      <c r="AM938" t="s">
        <v>2505</v>
      </c>
      <c r="AN938" t="s">
        <v>11945</v>
      </c>
      <c r="AO938" t="s">
        <v>11917</v>
      </c>
      <c r="AP938" t="s">
        <v>74</v>
      </c>
      <c r="AQ938" t="s">
        <v>11974</v>
      </c>
      <c r="AR938" t="s">
        <v>11946</v>
      </c>
      <c r="AS938" t="s">
        <v>74</v>
      </c>
      <c r="AT938" t="s">
        <v>74</v>
      </c>
      <c r="AU938">
        <v>1999</v>
      </c>
      <c r="AV938">
        <v>29</v>
      </c>
      <c r="AW938" t="s">
        <v>74</v>
      </c>
      <c r="AX938" t="s">
        <v>74</v>
      </c>
      <c r="AY938" t="s">
        <v>74</v>
      </c>
      <c r="AZ938" t="s">
        <v>74</v>
      </c>
      <c r="BA938" t="s">
        <v>74</v>
      </c>
      <c r="BB938">
        <v>17</v>
      </c>
      <c r="BC938">
        <v>22</v>
      </c>
      <c r="BD938" t="s">
        <v>74</v>
      </c>
      <c r="BE938" t="s">
        <v>11998</v>
      </c>
      <c r="BF938" t="str">
        <f>HYPERLINK("http://dx.doi.org/10.3189/172756499781821445","http://dx.doi.org/10.3189/172756499781821445")</f>
        <v>http://dx.doi.org/10.3189/172756499781821445</v>
      </c>
      <c r="BG938" t="s">
        <v>74</v>
      </c>
      <c r="BH938" t="s">
        <v>74</v>
      </c>
      <c r="BI938">
        <v>6</v>
      </c>
      <c r="BJ938" t="s">
        <v>11976</v>
      </c>
      <c r="BK938" t="s">
        <v>143</v>
      </c>
      <c r="BL938" t="s">
        <v>11977</v>
      </c>
      <c r="BM938" t="s">
        <v>11978</v>
      </c>
      <c r="BN938" t="s">
        <v>74</v>
      </c>
      <c r="BO938" t="s">
        <v>250</v>
      </c>
      <c r="BP938" t="s">
        <v>74</v>
      </c>
      <c r="BQ938" t="s">
        <v>74</v>
      </c>
      <c r="BR938" t="s">
        <v>99</v>
      </c>
      <c r="BS938" t="s">
        <v>11999</v>
      </c>
      <c r="BT938" t="str">
        <f>HYPERLINK("https%3A%2F%2Fwww.webofscience.com%2Fwos%2Fwoscc%2Ffull-record%2FWOS:000086691400003","View Full Record in Web of Science")</f>
        <v>View Full Record in Web of Science</v>
      </c>
    </row>
    <row r="939" spans="1:72" x14ac:dyDescent="0.15">
      <c r="A939" t="s">
        <v>1295</v>
      </c>
      <c r="B939" t="s">
        <v>12000</v>
      </c>
      <c r="C939" t="s">
        <v>74</v>
      </c>
      <c r="D939" t="s">
        <v>11960</v>
      </c>
      <c r="E939" t="s">
        <v>74</v>
      </c>
      <c r="F939" t="s">
        <v>12000</v>
      </c>
      <c r="G939" t="s">
        <v>74</v>
      </c>
      <c r="H939" t="s">
        <v>74</v>
      </c>
      <c r="I939" t="s">
        <v>12001</v>
      </c>
      <c r="J939" t="s">
        <v>11962</v>
      </c>
      <c r="K939" t="s">
        <v>11937</v>
      </c>
      <c r="L939" t="s">
        <v>74</v>
      </c>
      <c r="M939" t="s">
        <v>77</v>
      </c>
      <c r="N939" t="s">
        <v>123</v>
      </c>
      <c r="O939" t="s">
        <v>11963</v>
      </c>
      <c r="P939" t="s">
        <v>11964</v>
      </c>
      <c r="Q939" t="s">
        <v>11965</v>
      </c>
      <c r="R939" t="s">
        <v>74</v>
      </c>
      <c r="S939" t="s">
        <v>11966</v>
      </c>
      <c r="T939" t="s">
        <v>74</v>
      </c>
      <c r="U939" t="s">
        <v>12002</v>
      </c>
      <c r="V939" t="s">
        <v>12003</v>
      </c>
      <c r="W939" t="s">
        <v>12004</v>
      </c>
      <c r="X939" t="s">
        <v>12005</v>
      </c>
      <c r="Y939" t="s">
        <v>12006</v>
      </c>
      <c r="Z939" t="s">
        <v>74</v>
      </c>
      <c r="AA939" t="s">
        <v>74</v>
      </c>
      <c r="AB939" t="s">
        <v>74</v>
      </c>
      <c r="AC939" t="s">
        <v>74</v>
      </c>
      <c r="AD939" t="s">
        <v>74</v>
      </c>
      <c r="AE939" t="s">
        <v>74</v>
      </c>
      <c r="AF939" t="s">
        <v>74</v>
      </c>
      <c r="AG939">
        <v>13</v>
      </c>
      <c r="AH939">
        <v>15</v>
      </c>
      <c r="AI939">
        <v>18</v>
      </c>
      <c r="AJ939">
        <v>0</v>
      </c>
      <c r="AK939">
        <v>3</v>
      </c>
      <c r="AL939" t="s">
        <v>11915</v>
      </c>
      <c r="AM939" t="s">
        <v>2505</v>
      </c>
      <c r="AN939" t="s">
        <v>11945</v>
      </c>
      <c r="AO939" t="s">
        <v>11917</v>
      </c>
      <c r="AP939" t="s">
        <v>74</v>
      </c>
      <c r="AQ939" t="s">
        <v>11974</v>
      </c>
      <c r="AR939" t="s">
        <v>11946</v>
      </c>
      <c r="AS939" t="s">
        <v>74</v>
      </c>
      <c r="AT939" t="s">
        <v>74</v>
      </c>
      <c r="AU939">
        <v>1999</v>
      </c>
      <c r="AV939">
        <v>29</v>
      </c>
      <c r="AW939" t="s">
        <v>74</v>
      </c>
      <c r="AX939" t="s">
        <v>74</v>
      </c>
      <c r="AY939" t="s">
        <v>74</v>
      </c>
      <c r="AZ939" t="s">
        <v>74</v>
      </c>
      <c r="BA939" t="s">
        <v>74</v>
      </c>
      <c r="BB939">
        <v>23</v>
      </c>
      <c r="BC939">
        <v>28</v>
      </c>
      <c r="BD939" t="s">
        <v>74</v>
      </c>
      <c r="BE939" t="s">
        <v>12007</v>
      </c>
      <c r="BF939" t="str">
        <f>HYPERLINK("http://dx.doi.org/10.3189/172756499781820987","http://dx.doi.org/10.3189/172756499781820987")</f>
        <v>http://dx.doi.org/10.3189/172756499781820987</v>
      </c>
      <c r="BG939" t="s">
        <v>74</v>
      </c>
      <c r="BH939" t="s">
        <v>74</v>
      </c>
      <c r="BI939">
        <v>6</v>
      </c>
      <c r="BJ939" t="s">
        <v>11976</v>
      </c>
      <c r="BK939" t="s">
        <v>143</v>
      </c>
      <c r="BL939" t="s">
        <v>11977</v>
      </c>
      <c r="BM939" t="s">
        <v>11978</v>
      </c>
      <c r="BN939" t="s">
        <v>74</v>
      </c>
      <c r="BO939" t="s">
        <v>250</v>
      </c>
      <c r="BP939" t="s">
        <v>74</v>
      </c>
      <c r="BQ939" t="s">
        <v>74</v>
      </c>
      <c r="BR939" t="s">
        <v>99</v>
      </c>
      <c r="BS939" t="s">
        <v>12008</v>
      </c>
      <c r="BT939" t="str">
        <f>HYPERLINK("https%3A%2F%2Fwww.webofscience.com%2Fwos%2Fwoscc%2Ffull-record%2FWOS:000086691400004","View Full Record in Web of Science")</f>
        <v>View Full Record in Web of Science</v>
      </c>
    </row>
    <row r="940" spans="1:72" x14ac:dyDescent="0.15">
      <c r="A940" t="s">
        <v>1295</v>
      </c>
      <c r="B940" t="s">
        <v>12009</v>
      </c>
      <c r="C940" t="s">
        <v>74</v>
      </c>
      <c r="D940" t="s">
        <v>11960</v>
      </c>
      <c r="E940" t="s">
        <v>74</v>
      </c>
      <c r="F940" t="s">
        <v>12009</v>
      </c>
      <c r="G940" t="s">
        <v>74</v>
      </c>
      <c r="H940" t="s">
        <v>74</v>
      </c>
      <c r="I940" t="s">
        <v>12010</v>
      </c>
      <c r="J940" t="s">
        <v>11962</v>
      </c>
      <c r="K940" t="s">
        <v>11937</v>
      </c>
      <c r="L940" t="s">
        <v>74</v>
      </c>
      <c r="M940" t="s">
        <v>77</v>
      </c>
      <c r="N940" t="s">
        <v>123</v>
      </c>
      <c r="O940" t="s">
        <v>11963</v>
      </c>
      <c r="P940" t="s">
        <v>11964</v>
      </c>
      <c r="Q940" t="s">
        <v>11965</v>
      </c>
      <c r="R940" t="s">
        <v>74</v>
      </c>
      <c r="S940" t="s">
        <v>11966</v>
      </c>
      <c r="T940" t="s">
        <v>74</v>
      </c>
      <c r="U940" t="s">
        <v>12011</v>
      </c>
      <c r="V940" t="s">
        <v>12012</v>
      </c>
      <c r="W940" t="s">
        <v>12013</v>
      </c>
      <c r="X940" t="s">
        <v>12014</v>
      </c>
      <c r="Y940" t="s">
        <v>12015</v>
      </c>
      <c r="Z940" t="s">
        <v>74</v>
      </c>
      <c r="AA940" t="s">
        <v>12016</v>
      </c>
      <c r="AB940" t="s">
        <v>12017</v>
      </c>
      <c r="AC940" t="s">
        <v>74</v>
      </c>
      <c r="AD940" t="s">
        <v>74</v>
      </c>
      <c r="AE940" t="s">
        <v>74</v>
      </c>
      <c r="AF940" t="s">
        <v>74</v>
      </c>
      <c r="AG940">
        <v>27</v>
      </c>
      <c r="AH940">
        <v>16</v>
      </c>
      <c r="AI940">
        <v>32</v>
      </c>
      <c r="AJ940">
        <v>0</v>
      </c>
      <c r="AK940">
        <v>3</v>
      </c>
      <c r="AL940" t="s">
        <v>11915</v>
      </c>
      <c r="AM940" t="s">
        <v>2505</v>
      </c>
      <c r="AN940" t="s">
        <v>11945</v>
      </c>
      <c r="AO940" t="s">
        <v>11917</v>
      </c>
      <c r="AP940" t="s">
        <v>74</v>
      </c>
      <c r="AQ940" t="s">
        <v>11974</v>
      </c>
      <c r="AR940" t="s">
        <v>11946</v>
      </c>
      <c r="AS940" t="s">
        <v>74</v>
      </c>
      <c r="AT940" t="s">
        <v>74</v>
      </c>
      <c r="AU940">
        <v>1999</v>
      </c>
      <c r="AV940">
        <v>29</v>
      </c>
      <c r="AW940" t="s">
        <v>74</v>
      </c>
      <c r="AX940" t="s">
        <v>74</v>
      </c>
      <c r="AY940" t="s">
        <v>74</v>
      </c>
      <c r="AZ940" t="s">
        <v>74</v>
      </c>
      <c r="BA940" t="s">
        <v>74</v>
      </c>
      <c r="BB940">
        <v>29</v>
      </c>
      <c r="BC940">
        <v>32</v>
      </c>
      <c r="BD940" t="s">
        <v>74</v>
      </c>
      <c r="BE940" t="s">
        <v>74</v>
      </c>
      <c r="BF940" t="s">
        <v>74</v>
      </c>
      <c r="BG940" t="s">
        <v>74</v>
      </c>
      <c r="BH940" t="s">
        <v>74</v>
      </c>
      <c r="BI940">
        <v>4</v>
      </c>
      <c r="BJ940" t="s">
        <v>11976</v>
      </c>
      <c r="BK940" t="s">
        <v>143</v>
      </c>
      <c r="BL940" t="s">
        <v>11977</v>
      </c>
      <c r="BM940" t="s">
        <v>11978</v>
      </c>
      <c r="BN940" t="s">
        <v>74</v>
      </c>
      <c r="BO940" t="s">
        <v>74</v>
      </c>
      <c r="BP940" t="s">
        <v>74</v>
      </c>
      <c r="BQ940" t="s">
        <v>74</v>
      </c>
      <c r="BR940" t="s">
        <v>99</v>
      </c>
      <c r="BS940" t="s">
        <v>12018</v>
      </c>
      <c r="BT940" t="str">
        <f>HYPERLINK("https%3A%2F%2Fwww.webofscience.com%2Fwos%2Fwoscc%2Ffull-record%2FWOS:000086691400005","View Full Record in Web of Science")</f>
        <v>View Full Record in Web of Science</v>
      </c>
    </row>
    <row r="941" spans="1:72" x14ac:dyDescent="0.15">
      <c r="A941" t="s">
        <v>1295</v>
      </c>
      <c r="B941" t="s">
        <v>12019</v>
      </c>
      <c r="C941" t="s">
        <v>74</v>
      </c>
      <c r="D941" t="s">
        <v>11960</v>
      </c>
      <c r="E941" t="s">
        <v>74</v>
      </c>
      <c r="F941" t="s">
        <v>12019</v>
      </c>
      <c r="G941" t="s">
        <v>74</v>
      </c>
      <c r="H941" t="s">
        <v>74</v>
      </c>
      <c r="I941" t="s">
        <v>12020</v>
      </c>
      <c r="J941" t="s">
        <v>11962</v>
      </c>
      <c r="K941" t="s">
        <v>11906</v>
      </c>
      <c r="L941" t="s">
        <v>74</v>
      </c>
      <c r="M941" t="s">
        <v>77</v>
      </c>
      <c r="N941" t="s">
        <v>123</v>
      </c>
      <c r="O941" t="s">
        <v>11963</v>
      </c>
      <c r="P941" t="s">
        <v>11964</v>
      </c>
      <c r="Q941" t="s">
        <v>11965</v>
      </c>
      <c r="R941" t="s">
        <v>74</v>
      </c>
      <c r="S941" t="s">
        <v>11966</v>
      </c>
      <c r="T941" t="s">
        <v>74</v>
      </c>
      <c r="U941" t="s">
        <v>74</v>
      </c>
      <c r="V941" t="s">
        <v>12021</v>
      </c>
      <c r="W941" t="s">
        <v>12022</v>
      </c>
      <c r="X941" t="s">
        <v>12023</v>
      </c>
      <c r="Y941" t="s">
        <v>12024</v>
      </c>
      <c r="Z941" t="s">
        <v>74</v>
      </c>
      <c r="AA941" t="s">
        <v>74</v>
      </c>
      <c r="AB941" t="s">
        <v>74</v>
      </c>
      <c r="AC941" t="s">
        <v>74</v>
      </c>
      <c r="AD941" t="s">
        <v>74</v>
      </c>
      <c r="AE941" t="s">
        <v>74</v>
      </c>
      <c r="AF941" t="s">
        <v>74</v>
      </c>
      <c r="AG941">
        <v>6</v>
      </c>
      <c r="AH941">
        <v>7</v>
      </c>
      <c r="AI941">
        <v>7</v>
      </c>
      <c r="AJ941">
        <v>2</v>
      </c>
      <c r="AK941">
        <v>7</v>
      </c>
      <c r="AL941" t="s">
        <v>11915</v>
      </c>
      <c r="AM941" t="s">
        <v>2505</v>
      </c>
      <c r="AN941" t="s">
        <v>11916</v>
      </c>
      <c r="AO941" t="s">
        <v>11917</v>
      </c>
      <c r="AP941" t="s">
        <v>74</v>
      </c>
      <c r="AQ941" t="s">
        <v>11974</v>
      </c>
      <c r="AR941" t="s">
        <v>11919</v>
      </c>
      <c r="AS941" t="s">
        <v>74</v>
      </c>
      <c r="AT941" t="s">
        <v>74</v>
      </c>
      <c r="AU941">
        <v>1999</v>
      </c>
      <c r="AV941">
        <v>29</v>
      </c>
      <c r="AW941" t="s">
        <v>74</v>
      </c>
      <c r="AX941" t="s">
        <v>74</v>
      </c>
      <c r="AY941" t="s">
        <v>74</v>
      </c>
      <c r="AZ941" t="s">
        <v>74</v>
      </c>
      <c r="BA941" t="s">
        <v>74</v>
      </c>
      <c r="BB941">
        <v>33</v>
      </c>
      <c r="BC941">
        <v>37</v>
      </c>
      <c r="BD941" t="s">
        <v>74</v>
      </c>
      <c r="BE941" t="s">
        <v>12025</v>
      </c>
      <c r="BF941" t="str">
        <f>HYPERLINK("http://dx.doi.org/10.3189/172756499781821030","http://dx.doi.org/10.3189/172756499781821030")</f>
        <v>http://dx.doi.org/10.3189/172756499781821030</v>
      </c>
      <c r="BG941" t="s">
        <v>74</v>
      </c>
      <c r="BH941" t="s">
        <v>74</v>
      </c>
      <c r="BI941">
        <v>5</v>
      </c>
      <c r="BJ941" t="s">
        <v>11976</v>
      </c>
      <c r="BK941" t="s">
        <v>143</v>
      </c>
      <c r="BL941" t="s">
        <v>11977</v>
      </c>
      <c r="BM941" t="s">
        <v>11978</v>
      </c>
      <c r="BN941" t="s">
        <v>74</v>
      </c>
      <c r="BO941" t="s">
        <v>250</v>
      </c>
      <c r="BP941" t="s">
        <v>74</v>
      </c>
      <c r="BQ941" t="s">
        <v>74</v>
      </c>
      <c r="BR941" t="s">
        <v>99</v>
      </c>
      <c r="BS941" t="s">
        <v>12026</v>
      </c>
      <c r="BT941" t="str">
        <f>HYPERLINK("https%3A%2F%2Fwww.webofscience.com%2Fwos%2Fwoscc%2Ffull-record%2FWOS:000086691400006","View Full Record in Web of Science")</f>
        <v>View Full Record in Web of Science</v>
      </c>
    </row>
    <row r="942" spans="1:72" x14ac:dyDescent="0.15">
      <c r="A942" t="s">
        <v>1295</v>
      </c>
      <c r="B942" t="s">
        <v>12027</v>
      </c>
      <c r="C942" t="s">
        <v>74</v>
      </c>
      <c r="D942" t="s">
        <v>11960</v>
      </c>
      <c r="E942" t="s">
        <v>74</v>
      </c>
      <c r="F942" t="s">
        <v>12027</v>
      </c>
      <c r="G942" t="s">
        <v>74</v>
      </c>
      <c r="H942" t="s">
        <v>74</v>
      </c>
      <c r="I942" t="s">
        <v>12028</v>
      </c>
      <c r="J942" t="s">
        <v>11962</v>
      </c>
      <c r="K942" t="s">
        <v>11906</v>
      </c>
      <c r="L942" t="s">
        <v>74</v>
      </c>
      <c r="M942" t="s">
        <v>77</v>
      </c>
      <c r="N942" t="s">
        <v>123</v>
      </c>
      <c r="O942" t="s">
        <v>11963</v>
      </c>
      <c r="P942" t="s">
        <v>11964</v>
      </c>
      <c r="Q942" t="s">
        <v>11965</v>
      </c>
      <c r="R942" t="s">
        <v>74</v>
      </c>
      <c r="S942" t="s">
        <v>11966</v>
      </c>
      <c r="T942" t="s">
        <v>74</v>
      </c>
      <c r="U942" t="s">
        <v>12029</v>
      </c>
      <c r="V942" t="s">
        <v>12030</v>
      </c>
      <c r="W942" t="s">
        <v>12031</v>
      </c>
      <c r="X942" t="s">
        <v>12032</v>
      </c>
      <c r="Y942" t="s">
        <v>12033</v>
      </c>
      <c r="Z942" t="s">
        <v>74</v>
      </c>
      <c r="AA942" t="s">
        <v>12034</v>
      </c>
      <c r="AB942" t="s">
        <v>1817</v>
      </c>
      <c r="AC942" t="s">
        <v>74</v>
      </c>
      <c r="AD942" t="s">
        <v>74</v>
      </c>
      <c r="AE942" t="s">
        <v>74</v>
      </c>
      <c r="AF942" t="s">
        <v>74</v>
      </c>
      <c r="AG942">
        <v>52</v>
      </c>
      <c r="AH942">
        <v>31</v>
      </c>
      <c r="AI942">
        <v>36</v>
      </c>
      <c r="AJ942">
        <v>0</v>
      </c>
      <c r="AK942">
        <v>4</v>
      </c>
      <c r="AL942" t="s">
        <v>11915</v>
      </c>
      <c r="AM942" t="s">
        <v>2505</v>
      </c>
      <c r="AN942" t="s">
        <v>11916</v>
      </c>
      <c r="AO942" t="s">
        <v>11917</v>
      </c>
      <c r="AP942" t="s">
        <v>74</v>
      </c>
      <c r="AQ942" t="s">
        <v>11974</v>
      </c>
      <c r="AR942" t="s">
        <v>11919</v>
      </c>
      <c r="AS942" t="s">
        <v>74</v>
      </c>
      <c r="AT942" t="s">
        <v>74</v>
      </c>
      <c r="AU942">
        <v>1999</v>
      </c>
      <c r="AV942">
        <v>29</v>
      </c>
      <c r="AW942" t="s">
        <v>74</v>
      </c>
      <c r="AX942" t="s">
        <v>74</v>
      </c>
      <c r="AY942" t="s">
        <v>74</v>
      </c>
      <c r="AZ942" t="s">
        <v>74</v>
      </c>
      <c r="BA942" t="s">
        <v>74</v>
      </c>
      <c r="BB942">
        <v>38</v>
      </c>
      <c r="BC942">
        <v>44</v>
      </c>
      <c r="BD942" t="s">
        <v>74</v>
      </c>
      <c r="BE942" t="s">
        <v>12035</v>
      </c>
      <c r="BF942" t="str">
        <f>HYPERLINK("http://dx.doi.org/10.3189/172756499781821193","http://dx.doi.org/10.3189/172756499781821193")</f>
        <v>http://dx.doi.org/10.3189/172756499781821193</v>
      </c>
      <c r="BG942" t="s">
        <v>74</v>
      </c>
      <c r="BH942" t="s">
        <v>74</v>
      </c>
      <c r="BI942">
        <v>7</v>
      </c>
      <c r="BJ942" t="s">
        <v>11976</v>
      </c>
      <c r="BK942" t="s">
        <v>143</v>
      </c>
      <c r="BL942" t="s">
        <v>11977</v>
      </c>
      <c r="BM942" t="s">
        <v>11978</v>
      </c>
      <c r="BN942" t="s">
        <v>74</v>
      </c>
      <c r="BO942" t="s">
        <v>200</v>
      </c>
      <c r="BP942" t="s">
        <v>74</v>
      </c>
      <c r="BQ942" t="s">
        <v>74</v>
      </c>
      <c r="BR942" t="s">
        <v>99</v>
      </c>
      <c r="BS942" t="s">
        <v>12036</v>
      </c>
      <c r="BT942" t="str">
        <f>HYPERLINK("https%3A%2F%2Fwww.webofscience.com%2Fwos%2Fwoscc%2Ffull-record%2FWOS:000086691400007","View Full Record in Web of Science")</f>
        <v>View Full Record in Web of Science</v>
      </c>
    </row>
    <row r="943" spans="1:72" x14ac:dyDescent="0.15">
      <c r="A943" t="s">
        <v>1295</v>
      </c>
      <c r="B943" t="s">
        <v>12037</v>
      </c>
      <c r="C943" t="s">
        <v>74</v>
      </c>
      <c r="D943" t="s">
        <v>11960</v>
      </c>
      <c r="E943" t="s">
        <v>74</v>
      </c>
      <c r="F943" t="s">
        <v>12037</v>
      </c>
      <c r="G943" t="s">
        <v>74</v>
      </c>
      <c r="H943" t="s">
        <v>74</v>
      </c>
      <c r="I943" t="s">
        <v>12038</v>
      </c>
      <c r="J943" t="s">
        <v>11962</v>
      </c>
      <c r="K943" t="s">
        <v>11906</v>
      </c>
      <c r="L943" t="s">
        <v>74</v>
      </c>
      <c r="M943" t="s">
        <v>77</v>
      </c>
      <c r="N943" t="s">
        <v>123</v>
      </c>
      <c r="O943" t="s">
        <v>11963</v>
      </c>
      <c r="P943" t="s">
        <v>11964</v>
      </c>
      <c r="Q943" t="s">
        <v>11965</v>
      </c>
      <c r="R943" t="s">
        <v>74</v>
      </c>
      <c r="S943" t="s">
        <v>11966</v>
      </c>
      <c r="T943" t="s">
        <v>74</v>
      </c>
      <c r="U943" t="s">
        <v>12039</v>
      </c>
      <c r="V943" t="s">
        <v>12040</v>
      </c>
      <c r="W943" t="s">
        <v>12041</v>
      </c>
      <c r="X943" t="s">
        <v>12042</v>
      </c>
      <c r="Y943" t="s">
        <v>12043</v>
      </c>
      <c r="Z943" t="s">
        <v>74</v>
      </c>
      <c r="AA943" t="s">
        <v>9335</v>
      </c>
      <c r="AB943" t="s">
        <v>9336</v>
      </c>
      <c r="AC943" t="s">
        <v>74</v>
      </c>
      <c r="AD943" t="s">
        <v>74</v>
      </c>
      <c r="AE943" t="s">
        <v>74</v>
      </c>
      <c r="AF943" t="s">
        <v>74</v>
      </c>
      <c r="AG943">
        <v>22</v>
      </c>
      <c r="AH943">
        <v>5</v>
      </c>
      <c r="AI943">
        <v>5</v>
      </c>
      <c r="AJ943">
        <v>0</v>
      </c>
      <c r="AK943">
        <v>1</v>
      </c>
      <c r="AL943" t="s">
        <v>11915</v>
      </c>
      <c r="AM943" t="s">
        <v>2505</v>
      </c>
      <c r="AN943" t="s">
        <v>11916</v>
      </c>
      <c r="AO943" t="s">
        <v>11917</v>
      </c>
      <c r="AP943" t="s">
        <v>74</v>
      </c>
      <c r="AQ943" t="s">
        <v>11974</v>
      </c>
      <c r="AR943" t="s">
        <v>11919</v>
      </c>
      <c r="AS943" t="s">
        <v>74</v>
      </c>
      <c r="AT943" t="s">
        <v>74</v>
      </c>
      <c r="AU943">
        <v>1999</v>
      </c>
      <c r="AV943">
        <v>29</v>
      </c>
      <c r="AW943" t="s">
        <v>74</v>
      </c>
      <c r="AX943" t="s">
        <v>74</v>
      </c>
      <c r="AY943" t="s">
        <v>74</v>
      </c>
      <c r="AZ943" t="s">
        <v>74</v>
      </c>
      <c r="BA943" t="s">
        <v>74</v>
      </c>
      <c r="BB943">
        <v>45</v>
      </c>
      <c r="BC943">
        <v>48</v>
      </c>
      <c r="BD943" t="s">
        <v>74</v>
      </c>
      <c r="BE943" t="s">
        <v>12044</v>
      </c>
      <c r="BF943" t="str">
        <f>HYPERLINK("http://dx.doi.org/10.3189/172756499781821544","http://dx.doi.org/10.3189/172756499781821544")</f>
        <v>http://dx.doi.org/10.3189/172756499781821544</v>
      </c>
      <c r="BG943" t="s">
        <v>74</v>
      </c>
      <c r="BH943" t="s">
        <v>74</v>
      </c>
      <c r="BI943">
        <v>4</v>
      </c>
      <c r="BJ943" t="s">
        <v>11976</v>
      </c>
      <c r="BK943" t="s">
        <v>143</v>
      </c>
      <c r="BL943" t="s">
        <v>11977</v>
      </c>
      <c r="BM943" t="s">
        <v>11978</v>
      </c>
      <c r="BN943" t="s">
        <v>74</v>
      </c>
      <c r="BO943" t="s">
        <v>200</v>
      </c>
      <c r="BP943" t="s">
        <v>74</v>
      </c>
      <c r="BQ943" t="s">
        <v>74</v>
      </c>
      <c r="BR943" t="s">
        <v>99</v>
      </c>
      <c r="BS943" t="s">
        <v>12045</v>
      </c>
      <c r="BT943" t="str">
        <f>HYPERLINK("https%3A%2F%2Fwww.webofscience.com%2Fwos%2Fwoscc%2Ffull-record%2FWOS:000086691400008","View Full Record in Web of Science")</f>
        <v>View Full Record in Web of Science</v>
      </c>
    </row>
    <row r="944" spans="1:72" x14ac:dyDescent="0.15">
      <c r="A944" t="s">
        <v>1295</v>
      </c>
      <c r="B944" t="s">
        <v>12046</v>
      </c>
      <c r="C944" t="s">
        <v>74</v>
      </c>
      <c r="D944" t="s">
        <v>11960</v>
      </c>
      <c r="E944" t="s">
        <v>74</v>
      </c>
      <c r="F944" t="s">
        <v>12046</v>
      </c>
      <c r="G944" t="s">
        <v>74</v>
      </c>
      <c r="H944" t="s">
        <v>74</v>
      </c>
      <c r="I944" t="s">
        <v>12047</v>
      </c>
      <c r="J944" t="s">
        <v>11962</v>
      </c>
      <c r="K944" t="s">
        <v>11937</v>
      </c>
      <c r="L944" t="s">
        <v>74</v>
      </c>
      <c r="M944" t="s">
        <v>77</v>
      </c>
      <c r="N944" t="s">
        <v>123</v>
      </c>
      <c r="O944" t="s">
        <v>11963</v>
      </c>
      <c r="P944" t="s">
        <v>11964</v>
      </c>
      <c r="Q944" t="s">
        <v>11965</v>
      </c>
      <c r="R944" t="s">
        <v>74</v>
      </c>
      <c r="S944" t="s">
        <v>11966</v>
      </c>
      <c r="T944" t="s">
        <v>74</v>
      </c>
      <c r="U944" t="s">
        <v>12048</v>
      </c>
      <c r="V944" t="s">
        <v>12049</v>
      </c>
      <c r="W944" t="s">
        <v>12050</v>
      </c>
      <c r="X944" t="s">
        <v>4905</v>
      </c>
      <c r="Y944" t="s">
        <v>12051</v>
      </c>
      <c r="Z944" t="s">
        <v>74</v>
      </c>
      <c r="AA944" t="s">
        <v>12052</v>
      </c>
      <c r="AB944" t="s">
        <v>12053</v>
      </c>
      <c r="AC944" t="s">
        <v>74</v>
      </c>
      <c r="AD944" t="s">
        <v>74</v>
      </c>
      <c r="AE944" t="s">
        <v>74</v>
      </c>
      <c r="AF944" t="s">
        <v>74</v>
      </c>
      <c r="AG944">
        <v>21</v>
      </c>
      <c r="AH944">
        <v>19</v>
      </c>
      <c r="AI944">
        <v>20</v>
      </c>
      <c r="AJ944">
        <v>1</v>
      </c>
      <c r="AK944">
        <v>2</v>
      </c>
      <c r="AL944" t="s">
        <v>11915</v>
      </c>
      <c r="AM944" t="s">
        <v>2505</v>
      </c>
      <c r="AN944" t="s">
        <v>11945</v>
      </c>
      <c r="AO944" t="s">
        <v>11917</v>
      </c>
      <c r="AP944" t="s">
        <v>74</v>
      </c>
      <c r="AQ944" t="s">
        <v>11974</v>
      </c>
      <c r="AR944" t="s">
        <v>11946</v>
      </c>
      <c r="AS944" t="s">
        <v>74</v>
      </c>
      <c r="AT944" t="s">
        <v>74</v>
      </c>
      <c r="AU944">
        <v>1999</v>
      </c>
      <c r="AV944">
        <v>29</v>
      </c>
      <c r="AW944" t="s">
        <v>74</v>
      </c>
      <c r="AX944" t="s">
        <v>74</v>
      </c>
      <c r="AY944" t="s">
        <v>74</v>
      </c>
      <c r="AZ944" t="s">
        <v>74</v>
      </c>
      <c r="BA944" t="s">
        <v>74</v>
      </c>
      <c r="BB944">
        <v>49</v>
      </c>
      <c r="BC944">
        <v>54</v>
      </c>
      <c r="BD944" t="s">
        <v>74</v>
      </c>
      <c r="BE944" t="s">
        <v>12054</v>
      </c>
      <c r="BF944" t="str">
        <f>HYPERLINK("http://dx.doi.org/10.3189/172756499781821166","http://dx.doi.org/10.3189/172756499781821166")</f>
        <v>http://dx.doi.org/10.3189/172756499781821166</v>
      </c>
      <c r="BG944" t="s">
        <v>74</v>
      </c>
      <c r="BH944" t="s">
        <v>74</v>
      </c>
      <c r="BI944">
        <v>6</v>
      </c>
      <c r="BJ944" t="s">
        <v>11976</v>
      </c>
      <c r="BK944" t="s">
        <v>143</v>
      </c>
      <c r="BL944" t="s">
        <v>11977</v>
      </c>
      <c r="BM944" t="s">
        <v>11978</v>
      </c>
      <c r="BN944" t="s">
        <v>74</v>
      </c>
      <c r="BO944" t="s">
        <v>250</v>
      </c>
      <c r="BP944" t="s">
        <v>74</v>
      </c>
      <c r="BQ944" t="s">
        <v>74</v>
      </c>
      <c r="BR944" t="s">
        <v>99</v>
      </c>
      <c r="BS944" t="s">
        <v>12055</v>
      </c>
      <c r="BT944" t="str">
        <f>HYPERLINK("https%3A%2F%2Fwww.webofscience.com%2Fwos%2Fwoscc%2Ffull-record%2FWOS:000086691400009","View Full Record in Web of Science")</f>
        <v>View Full Record in Web of Science</v>
      </c>
    </row>
    <row r="945" spans="1:72" x14ac:dyDescent="0.15">
      <c r="A945" t="s">
        <v>1295</v>
      </c>
      <c r="B945" t="s">
        <v>12056</v>
      </c>
      <c r="C945" t="s">
        <v>74</v>
      </c>
      <c r="D945" t="s">
        <v>11960</v>
      </c>
      <c r="E945" t="s">
        <v>74</v>
      </c>
      <c r="F945" t="s">
        <v>12056</v>
      </c>
      <c r="G945" t="s">
        <v>74</v>
      </c>
      <c r="H945" t="s">
        <v>74</v>
      </c>
      <c r="I945" t="s">
        <v>12057</v>
      </c>
      <c r="J945" t="s">
        <v>11962</v>
      </c>
      <c r="K945" t="s">
        <v>11937</v>
      </c>
      <c r="L945" t="s">
        <v>74</v>
      </c>
      <c r="M945" t="s">
        <v>77</v>
      </c>
      <c r="N945" t="s">
        <v>123</v>
      </c>
      <c r="O945" t="s">
        <v>11963</v>
      </c>
      <c r="P945" t="s">
        <v>11964</v>
      </c>
      <c r="Q945" t="s">
        <v>11965</v>
      </c>
      <c r="R945" t="s">
        <v>74</v>
      </c>
      <c r="S945" t="s">
        <v>11966</v>
      </c>
      <c r="T945" t="s">
        <v>74</v>
      </c>
      <c r="U945" t="s">
        <v>12058</v>
      </c>
      <c r="V945" t="s">
        <v>12059</v>
      </c>
      <c r="W945" t="s">
        <v>12060</v>
      </c>
      <c r="X945" t="s">
        <v>12061</v>
      </c>
      <c r="Y945" t="s">
        <v>12015</v>
      </c>
      <c r="Z945" t="s">
        <v>74</v>
      </c>
      <c r="AA945" t="s">
        <v>12062</v>
      </c>
      <c r="AB945" t="s">
        <v>12063</v>
      </c>
      <c r="AC945" t="s">
        <v>74</v>
      </c>
      <c r="AD945" t="s">
        <v>74</v>
      </c>
      <c r="AE945" t="s">
        <v>74</v>
      </c>
      <c r="AF945" t="s">
        <v>74</v>
      </c>
      <c r="AG945">
        <v>28</v>
      </c>
      <c r="AH945">
        <v>4</v>
      </c>
      <c r="AI945">
        <v>7</v>
      </c>
      <c r="AJ945">
        <v>0</v>
      </c>
      <c r="AK945">
        <v>2</v>
      </c>
      <c r="AL945" t="s">
        <v>11915</v>
      </c>
      <c r="AM945" t="s">
        <v>2505</v>
      </c>
      <c r="AN945" t="s">
        <v>11945</v>
      </c>
      <c r="AO945" t="s">
        <v>11917</v>
      </c>
      <c r="AP945" t="s">
        <v>74</v>
      </c>
      <c r="AQ945" t="s">
        <v>11974</v>
      </c>
      <c r="AR945" t="s">
        <v>11946</v>
      </c>
      <c r="AS945" t="s">
        <v>74</v>
      </c>
      <c r="AT945" t="s">
        <v>74</v>
      </c>
      <c r="AU945">
        <v>1999</v>
      </c>
      <c r="AV945">
        <v>29</v>
      </c>
      <c r="AW945" t="s">
        <v>74</v>
      </c>
      <c r="AX945" t="s">
        <v>74</v>
      </c>
      <c r="AY945" t="s">
        <v>74</v>
      </c>
      <c r="AZ945" t="s">
        <v>74</v>
      </c>
      <c r="BA945" t="s">
        <v>74</v>
      </c>
      <c r="BB945">
        <v>55</v>
      </c>
      <c r="BC945">
        <v>60</v>
      </c>
      <c r="BD945" t="s">
        <v>74</v>
      </c>
      <c r="BE945" t="s">
        <v>74</v>
      </c>
      <c r="BF945" t="s">
        <v>74</v>
      </c>
      <c r="BG945" t="s">
        <v>74</v>
      </c>
      <c r="BH945" t="s">
        <v>74</v>
      </c>
      <c r="BI945">
        <v>6</v>
      </c>
      <c r="BJ945" t="s">
        <v>11976</v>
      </c>
      <c r="BK945" t="s">
        <v>143</v>
      </c>
      <c r="BL945" t="s">
        <v>11977</v>
      </c>
      <c r="BM945" t="s">
        <v>11978</v>
      </c>
      <c r="BN945" t="s">
        <v>74</v>
      </c>
      <c r="BO945" t="s">
        <v>74</v>
      </c>
      <c r="BP945" t="s">
        <v>74</v>
      </c>
      <c r="BQ945" t="s">
        <v>74</v>
      </c>
      <c r="BR945" t="s">
        <v>99</v>
      </c>
      <c r="BS945" t="s">
        <v>12064</v>
      </c>
      <c r="BT945" t="str">
        <f>HYPERLINK("https%3A%2F%2Fwww.webofscience.com%2Fwos%2Fwoscc%2Ffull-record%2FWOS:000086691400010","View Full Record in Web of Science")</f>
        <v>View Full Record in Web of Science</v>
      </c>
    </row>
    <row r="946" spans="1:72" x14ac:dyDescent="0.15">
      <c r="A946" t="s">
        <v>1295</v>
      </c>
      <c r="B946" t="s">
        <v>12065</v>
      </c>
      <c r="C946" t="s">
        <v>74</v>
      </c>
      <c r="D946" t="s">
        <v>11960</v>
      </c>
      <c r="E946" t="s">
        <v>74</v>
      </c>
      <c r="F946" t="s">
        <v>12065</v>
      </c>
      <c r="G946" t="s">
        <v>74</v>
      </c>
      <c r="H946" t="s">
        <v>74</v>
      </c>
      <c r="I946" t="s">
        <v>12066</v>
      </c>
      <c r="J946" t="s">
        <v>11962</v>
      </c>
      <c r="K946" t="s">
        <v>11906</v>
      </c>
      <c r="L946" t="s">
        <v>74</v>
      </c>
      <c r="M946" t="s">
        <v>77</v>
      </c>
      <c r="N946" t="s">
        <v>123</v>
      </c>
      <c r="O946" t="s">
        <v>11963</v>
      </c>
      <c r="P946" t="s">
        <v>11964</v>
      </c>
      <c r="Q946" t="s">
        <v>11965</v>
      </c>
      <c r="R946" t="s">
        <v>74</v>
      </c>
      <c r="S946" t="s">
        <v>11966</v>
      </c>
      <c r="T946" t="s">
        <v>74</v>
      </c>
      <c r="U946" t="s">
        <v>12067</v>
      </c>
      <c r="V946" t="s">
        <v>12068</v>
      </c>
      <c r="W946" t="s">
        <v>12069</v>
      </c>
      <c r="X946" t="s">
        <v>2279</v>
      </c>
      <c r="Y946" t="s">
        <v>12070</v>
      </c>
      <c r="Z946" t="s">
        <v>74</v>
      </c>
      <c r="AA946" t="s">
        <v>74</v>
      </c>
      <c r="AB946" t="s">
        <v>74</v>
      </c>
      <c r="AC946" t="s">
        <v>74</v>
      </c>
      <c r="AD946" t="s">
        <v>74</v>
      </c>
      <c r="AE946" t="s">
        <v>74</v>
      </c>
      <c r="AF946" t="s">
        <v>74</v>
      </c>
      <c r="AG946">
        <v>33</v>
      </c>
      <c r="AH946">
        <v>17</v>
      </c>
      <c r="AI946">
        <v>24</v>
      </c>
      <c r="AJ946">
        <v>0</v>
      </c>
      <c r="AK946">
        <v>3</v>
      </c>
      <c r="AL946" t="s">
        <v>11915</v>
      </c>
      <c r="AM946" t="s">
        <v>2505</v>
      </c>
      <c r="AN946" t="s">
        <v>11916</v>
      </c>
      <c r="AO946" t="s">
        <v>11917</v>
      </c>
      <c r="AP946" t="s">
        <v>74</v>
      </c>
      <c r="AQ946" t="s">
        <v>11974</v>
      </c>
      <c r="AR946" t="s">
        <v>11919</v>
      </c>
      <c r="AS946" t="s">
        <v>74</v>
      </c>
      <c r="AT946" t="s">
        <v>74</v>
      </c>
      <c r="AU946">
        <v>1999</v>
      </c>
      <c r="AV946">
        <v>29</v>
      </c>
      <c r="AW946" t="s">
        <v>74</v>
      </c>
      <c r="AX946" t="s">
        <v>74</v>
      </c>
      <c r="AY946" t="s">
        <v>74</v>
      </c>
      <c r="AZ946" t="s">
        <v>74</v>
      </c>
      <c r="BA946" t="s">
        <v>74</v>
      </c>
      <c r="BB946">
        <v>61</v>
      </c>
      <c r="BC946">
        <v>65</v>
      </c>
      <c r="BD946" t="s">
        <v>74</v>
      </c>
      <c r="BE946" t="s">
        <v>12071</v>
      </c>
      <c r="BF946" t="str">
        <f>HYPERLINK("http://dx.doi.org/10.3189/172756499781821517","http://dx.doi.org/10.3189/172756499781821517")</f>
        <v>http://dx.doi.org/10.3189/172756499781821517</v>
      </c>
      <c r="BG946" t="s">
        <v>74</v>
      </c>
      <c r="BH946" t="s">
        <v>74</v>
      </c>
      <c r="BI946">
        <v>5</v>
      </c>
      <c r="BJ946" t="s">
        <v>11976</v>
      </c>
      <c r="BK946" t="s">
        <v>143</v>
      </c>
      <c r="BL946" t="s">
        <v>11977</v>
      </c>
      <c r="BM946" t="s">
        <v>11978</v>
      </c>
      <c r="BN946" t="s">
        <v>74</v>
      </c>
      <c r="BO946" t="s">
        <v>250</v>
      </c>
      <c r="BP946" t="s">
        <v>74</v>
      </c>
      <c r="BQ946" t="s">
        <v>74</v>
      </c>
      <c r="BR946" t="s">
        <v>99</v>
      </c>
      <c r="BS946" t="s">
        <v>12072</v>
      </c>
      <c r="BT946" t="str">
        <f>HYPERLINK("https%3A%2F%2Fwww.webofscience.com%2Fwos%2Fwoscc%2Ffull-record%2FWOS:000086691400011","View Full Record in Web of Science")</f>
        <v>View Full Record in Web of Science</v>
      </c>
    </row>
    <row r="947" spans="1:72" x14ac:dyDescent="0.15">
      <c r="A947" t="s">
        <v>1295</v>
      </c>
      <c r="B947" t="s">
        <v>12073</v>
      </c>
      <c r="C947" t="s">
        <v>74</v>
      </c>
      <c r="D947" t="s">
        <v>11960</v>
      </c>
      <c r="E947" t="s">
        <v>74</v>
      </c>
      <c r="F947" t="s">
        <v>12073</v>
      </c>
      <c r="G947" t="s">
        <v>74</v>
      </c>
      <c r="H947" t="s">
        <v>74</v>
      </c>
      <c r="I947" t="s">
        <v>12074</v>
      </c>
      <c r="J947" t="s">
        <v>11962</v>
      </c>
      <c r="K947" t="s">
        <v>11906</v>
      </c>
      <c r="L947" t="s">
        <v>74</v>
      </c>
      <c r="M947" t="s">
        <v>77</v>
      </c>
      <c r="N947" t="s">
        <v>123</v>
      </c>
      <c r="O947" t="s">
        <v>11963</v>
      </c>
      <c r="P947" t="s">
        <v>11964</v>
      </c>
      <c r="Q947" t="s">
        <v>11965</v>
      </c>
      <c r="R947" t="s">
        <v>74</v>
      </c>
      <c r="S947" t="s">
        <v>11966</v>
      </c>
      <c r="T947" t="s">
        <v>74</v>
      </c>
      <c r="U947" t="s">
        <v>12075</v>
      </c>
      <c r="V947" t="s">
        <v>12076</v>
      </c>
      <c r="W947" t="s">
        <v>12077</v>
      </c>
      <c r="X947" t="s">
        <v>12078</v>
      </c>
      <c r="Y947" t="s">
        <v>12079</v>
      </c>
      <c r="Z947" t="s">
        <v>74</v>
      </c>
      <c r="AA947" t="s">
        <v>12080</v>
      </c>
      <c r="AB947" t="s">
        <v>7744</v>
      </c>
      <c r="AC947" t="s">
        <v>74</v>
      </c>
      <c r="AD947" t="s">
        <v>74</v>
      </c>
      <c r="AE947" t="s">
        <v>74</v>
      </c>
      <c r="AF947" t="s">
        <v>74</v>
      </c>
      <c r="AG947">
        <v>23</v>
      </c>
      <c r="AH947">
        <v>39</v>
      </c>
      <c r="AI947">
        <v>41</v>
      </c>
      <c r="AJ947">
        <v>0</v>
      </c>
      <c r="AK947">
        <v>3</v>
      </c>
      <c r="AL947" t="s">
        <v>11915</v>
      </c>
      <c r="AM947" t="s">
        <v>2505</v>
      </c>
      <c r="AN947" t="s">
        <v>11916</v>
      </c>
      <c r="AO947" t="s">
        <v>11917</v>
      </c>
      <c r="AP947" t="s">
        <v>74</v>
      </c>
      <c r="AQ947" t="s">
        <v>11974</v>
      </c>
      <c r="AR947" t="s">
        <v>11919</v>
      </c>
      <c r="AS947" t="s">
        <v>74</v>
      </c>
      <c r="AT947" t="s">
        <v>74</v>
      </c>
      <c r="AU947">
        <v>1999</v>
      </c>
      <c r="AV947">
        <v>29</v>
      </c>
      <c r="AW947" t="s">
        <v>74</v>
      </c>
      <c r="AX947" t="s">
        <v>74</v>
      </c>
      <c r="AY947" t="s">
        <v>74</v>
      </c>
      <c r="AZ947" t="s">
        <v>74</v>
      </c>
      <c r="BA947" t="s">
        <v>74</v>
      </c>
      <c r="BB947">
        <v>66</v>
      </c>
      <c r="BC947">
        <v>72</v>
      </c>
      <c r="BD947" t="s">
        <v>74</v>
      </c>
      <c r="BE947" t="s">
        <v>12081</v>
      </c>
      <c r="BF947" t="str">
        <f>HYPERLINK("http://dx.doi.org/10.3189/172756499781821094","http://dx.doi.org/10.3189/172756499781821094")</f>
        <v>http://dx.doi.org/10.3189/172756499781821094</v>
      </c>
      <c r="BG947" t="s">
        <v>74</v>
      </c>
      <c r="BH947" t="s">
        <v>74</v>
      </c>
      <c r="BI947">
        <v>7</v>
      </c>
      <c r="BJ947" t="s">
        <v>11976</v>
      </c>
      <c r="BK947" t="s">
        <v>143</v>
      </c>
      <c r="BL947" t="s">
        <v>11977</v>
      </c>
      <c r="BM947" t="s">
        <v>11978</v>
      </c>
      <c r="BN947" t="s">
        <v>74</v>
      </c>
      <c r="BO947" t="s">
        <v>250</v>
      </c>
      <c r="BP947" t="s">
        <v>74</v>
      </c>
      <c r="BQ947" t="s">
        <v>74</v>
      </c>
      <c r="BR947" t="s">
        <v>99</v>
      </c>
      <c r="BS947" t="s">
        <v>12082</v>
      </c>
      <c r="BT947" t="str">
        <f>HYPERLINK("https%3A%2F%2Fwww.webofscience.com%2Fwos%2Fwoscc%2Ffull-record%2FWOS:000086691400012","View Full Record in Web of Science")</f>
        <v>View Full Record in Web of Science</v>
      </c>
    </row>
    <row r="948" spans="1:72" x14ac:dyDescent="0.15">
      <c r="A948" t="s">
        <v>1295</v>
      </c>
      <c r="B948" t="s">
        <v>12083</v>
      </c>
      <c r="C948" t="s">
        <v>74</v>
      </c>
      <c r="D948" t="s">
        <v>11960</v>
      </c>
      <c r="E948" t="s">
        <v>74</v>
      </c>
      <c r="F948" t="s">
        <v>12083</v>
      </c>
      <c r="G948" t="s">
        <v>74</v>
      </c>
      <c r="H948" t="s">
        <v>74</v>
      </c>
      <c r="I948" t="s">
        <v>12084</v>
      </c>
      <c r="J948" t="s">
        <v>11962</v>
      </c>
      <c r="K948" t="s">
        <v>11937</v>
      </c>
      <c r="L948" t="s">
        <v>74</v>
      </c>
      <c r="M948" t="s">
        <v>77</v>
      </c>
      <c r="N948" t="s">
        <v>123</v>
      </c>
      <c r="O948" t="s">
        <v>11963</v>
      </c>
      <c r="P948" t="s">
        <v>11964</v>
      </c>
      <c r="Q948" t="s">
        <v>11965</v>
      </c>
      <c r="R948" t="s">
        <v>74</v>
      </c>
      <c r="S948" t="s">
        <v>11966</v>
      </c>
      <c r="T948" t="s">
        <v>74</v>
      </c>
      <c r="U948" t="s">
        <v>12085</v>
      </c>
      <c r="V948" t="s">
        <v>12086</v>
      </c>
      <c r="W948" t="s">
        <v>12087</v>
      </c>
      <c r="X948" t="s">
        <v>7815</v>
      </c>
      <c r="Y948" t="s">
        <v>12015</v>
      </c>
      <c r="Z948" t="s">
        <v>74</v>
      </c>
      <c r="AA948" t="s">
        <v>74</v>
      </c>
      <c r="AB948" t="s">
        <v>74</v>
      </c>
      <c r="AC948" t="s">
        <v>74</v>
      </c>
      <c r="AD948" t="s">
        <v>74</v>
      </c>
      <c r="AE948" t="s">
        <v>74</v>
      </c>
      <c r="AF948" t="s">
        <v>74</v>
      </c>
      <c r="AG948">
        <v>19</v>
      </c>
      <c r="AH948">
        <v>5</v>
      </c>
      <c r="AI948">
        <v>10</v>
      </c>
      <c r="AJ948">
        <v>1</v>
      </c>
      <c r="AK948">
        <v>4</v>
      </c>
      <c r="AL948" t="s">
        <v>11915</v>
      </c>
      <c r="AM948" t="s">
        <v>2505</v>
      </c>
      <c r="AN948" t="s">
        <v>11945</v>
      </c>
      <c r="AO948" t="s">
        <v>11917</v>
      </c>
      <c r="AP948" t="s">
        <v>74</v>
      </c>
      <c r="AQ948" t="s">
        <v>11974</v>
      </c>
      <c r="AR948" t="s">
        <v>11946</v>
      </c>
      <c r="AS948" t="s">
        <v>74</v>
      </c>
      <c r="AT948" t="s">
        <v>74</v>
      </c>
      <c r="AU948">
        <v>1999</v>
      </c>
      <c r="AV948">
        <v>29</v>
      </c>
      <c r="AW948" t="s">
        <v>74</v>
      </c>
      <c r="AX948" t="s">
        <v>74</v>
      </c>
      <c r="AY948" t="s">
        <v>74</v>
      </c>
      <c r="AZ948" t="s">
        <v>74</v>
      </c>
      <c r="BA948" t="s">
        <v>74</v>
      </c>
      <c r="BB948">
        <v>73</v>
      </c>
      <c r="BC948">
        <v>76</v>
      </c>
      <c r="BD948" t="s">
        <v>74</v>
      </c>
      <c r="BE948" t="s">
        <v>74</v>
      </c>
      <c r="BF948" t="s">
        <v>74</v>
      </c>
      <c r="BG948" t="s">
        <v>74</v>
      </c>
      <c r="BH948" t="s">
        <v>74</v>
      </c>
      <c r="BI948">
        <v>4</v>
      </c>
      <c r="BJ948" t="s">
        <v>11976</v>
      </c>
      <c r="BK948" t="s">
        <v>143</v>
      </c>
      <c r="BL948" t="s">
        <v>11977</v>
      </c>
      <c r="BM948" t="s">
        <v>11978</v>
      </c>
      <c r="BN948" t="s">
        <v>74</v>
      </c>
      <c r="BO948" t="s">
        <v>74</v>
      </c>
      <c r="BP948" t="s">
        <v>74</v>
      </c>
      <c r="BQ948" t="s">
        <v>74</v>
      </c>
      <c r="BR948" t="s">
        <v>99</v>
      </c>
      <c r="BS948" t="s">
        <v>12088</v>
      </c>
      <c r="BT948" t="str">
        <f>HYPERLINK("https%3A%2F%2Fwww.webofscience.com%2Fwos%2Fwoscc%2Ffull-record%2FWOS:000086691400013","View Full Record in Web of Science")</f>
        <v>View Full Record in Web of Science</v>
      </c>
    </row>
    <row r="949" spans="1:72" x14ac:dyDescent="0.15">
      <c r="A949" t="s">
        <v>1295</v>
      </c>
      <c r="B949" t="s">
        <v>12089</v>
      </c>
      <c r="C949" t="s">
        <v>74</v>
      </c>
      <c r="D949" t="s">
        <v>11960</v>
      </c>
      <c r="E949" t="s">
        <v>74</v>
      </c>
      <c r="F949" t="s">
        <v>12089</v>
      </c>
      <c r="G949" t="s">
        <v>74</v>
      </c>
      <c r="H949" t="s">
        <v>74</v>
      </c>
      <c r="I949" t="s">
        <v>12090</v>
      </c>
      <c r="J949" t="s">
        <v>11962</v>
      </c>
      <c r="K949" t="s">
        <v>11906</v>
      </c>
      <c r="L949" t="s">
        <v>74</v>
      </c>
      <c r="M949" t="s">
        <v>77</v>
      </c>
      <c r="N949" t="s">
        <v>123</v>
      </c>
      <c r="O949" t="s">
        <v>11963</v>
      </c>
      <c r="P949" t="s">
        <v>11964</v>
      </c>
      <c r="Q949" t="s">
        <v>11965</v>
      </c>
      <c r="R949" t="s">
        <v>74</v>
      </c>
      <c r="S949" t="s">
        <v>11966</v>
      </c>
      <c r="T949" t="s">
        <v>74</v>
      </c>
      <c r="U949" t="s">
        <v>12091</v>
      </c>
      <c r="V949" t="s">
        <v>12092</v>
      </c>
      <c r="W949" t="s">
        <v>12093</v>
      </c>
      <c r="X949" t="s">
        <v>12094</v>
      </c>
      <c r="Y949" t="s">
        <v>12095</v>
      </c>
      <c r="Z949" t="s">
        <v>74</v>
      </c>
      <c r="AA949" t="s">
        <v>12096</v>
      </c>
      <c r="AB949" t="s">
        <v>12097</v>
      </c>
      <c r="AC949" t="s">
        <v>74</v>
      </c>
      <c r="AD949" t="s">
        <v>74</v>
      </c>
      <c r="AE949" t="s">
        <v>74</v>
      </c>
      <c r="AF949" t="s">
        <v>74</v>
      </c>
      <c r="AG949">
        <v>27</v>
      </c>
      <c r="AH949">
        <v>28</v>
      </c>
      <c r="AI949">
        <v>28</v>
      </c>
      <c r="AJ949">
        <v>0</v>
      </c>
      <c r="AK949">
        <v>3</v>
      </c>
      <c r="AL949" t="s">
        <v>11915</v>
      </c>
      <c r="AM949" t="s">
        <v>2505</v>
      </c>
      <c r="AN949" t="s">
        <v>11916</v>
      </c>
      <c r="AO949" t="s">
        <v>11917</v>
      </c>
      <c r="AP949" t="s">
        <v>74</v>
      </c>
      <c r="AQ949" t="s">
        <v>11974</v>
      </c>
      <c r="AR949" t="s">
        <v>11919</v>
      </c>
      <c r="AS949" t="s">
        <v>74</v>
      </c>
      <c r="AT949" t="s">
        <v>74</v>
      </c>
      <c r="AU949">
        <v>1999</v>
      </c>
      <c r="AV949">
        <v>29</v>
      </c>
      <c r="AW949" t="s">
        <v>74</v>
      </c>
      <c r="AX949" t="s">
        <v>74</v>
      </c>
      <c r="AY949" t="s">
        <v>74</v>
      </c>
      <c r="AZ949" t="s">
        <v>74</v>
      </c>
      <c r="BA949" t="s">
        <v>74</v>
      </c>
      <c r="BB949">
        <v>77</v>
      </c>
      <c r="BC949">
        <v>83</v>
      </c>
      <c r="BD949" t="s">
        <v>74</v>
      </c>
      <c r="BE949" t="s">
        <v>12098</v>
      </c>
      <c r="BF949" t="str">
        <f>HYPERLINK("http://dx.doi.org/10.3189/172756499781820923","http://dx.doi.org/10.3189/172756499781820923")</f>
        <v>http://dx.doi.org/10.3189/172756499781820923</v>
      </c>
      <c r="BG949" t="s">
        <v>74</v>
      </c>
      <c r="BH949" t="s">
        <v>74</v>
      </c>
      <c r="BI949">
        <v>7</v>
      </c>
      <c r="BJ949" t="s">
        <v>11976</v>
      </c>
      <c r="BK949" t="s">
        <v>143</v>
      </c>
      <c r="BL949" t="s">
        <v>11977</v>
      </c>
      <c r="BM949" t="s">
        <v>11978</v>
      </c>
      <c r="BN949" t="s">
        <v>74</v>
      </c>
      <c r="BO949" t="s">
        <v>250</v>
      </c>
      <c r="BP949" t="s">
        <v>74</v>
      </c>
      <c r="BQ949" t="s">
        <v>74</v>
      </c>
      <c r="BR949" t="s">
        <v>99</v>
      </c>
      <c r="BS949" t="s">
        <v>12099</v>
      </c>
      <c r="BT949" t="str">
        <f>HYPERLINK("https%3A%2F%2Fwww.webofscience.com%2Fwos%2Fwoscc%2Ffull-record%2FWOS:000086691400014","View Full Record in Web of Science")</f>
        <v>View Full Record in Web of Science</v>
      </c>
    </row>
    <row r="950" spans="1:72" x14ac:dyDescent="0.15">
      <c r="A950" t="s">
        <v>1295</v>
      </c>
      <c r="B950" t="s">
        <v>12100</v>
      </c>
      <c r="C950" t="s">
        <v>74</v>
      </c>
      <c r="D950" t="s">
        <v>11960</v>
      </c>
      <c r="E950" t="s">
        <v>74</v>
      </c>
      <c r="F950" t="s">
        <v>12100</v>
      </c>
      <c r="G950" t="s">
        <v>74</v>
      </c>
      <c r="H950" t="s">
        <v>74</v>
      </c>
      <c r="I950" t="s">
        <v>12101</v>
      </c>
      <c r="J950" t="s">
        <v>11962</v>
      </c>
      <c r="K950" t="s">
        <v>11906</v>
      </c>
      <c r="L950" t="s">
        <v>74</v>
      </c>
      <c r="M950" t="s">
        <v>77</v>
      </c>
      <c r="N950" t="s">
        <v>123</v>
      </c>
      <c r="O950" t="s">
        <v>11963</v>
      </c>
      <c r="P950" t="s">
        <v>11964</v>
      </c>
      <c r="Q950" t="s">
        <v>11965</v>
      </c>
      <c r="R950" t="s">
        <v>74</v>
      </c>
      <c r="S950" t="s">
        <v>11966</v>
      </c>
      <c r="T950" t="s">
        <v>74</v>
      </c>
      <c r="U950" t="s">
        <v>12102</v>
      </c>
      <c r="V950" t="s">
        <v>12103</v>
      </c>
      <c r="W950" t="s">
        <v>12087</v>
      </c>
      <c r="X950" t="s">
        <v>7815</v>
      </c>
      <c r="Y950" t="s">
        <v>12104</v>
      </c>
      <c r="Z950" t="s">
        <v>74</v>
      </c>
      <c r="AA950" t="s">
        <v>12105</v>
      </c>
      <c r="AB950" t="s">
        <v>12106</v>
      </c>
      <c r="AC950" t="s">
        <v>74</v>
      </c>
      <c r="AD950" t="s">
        <v>74</v>
      </c>
      <c r="AE950" t="s">
        <v>74</v>
      </c>
      <c r="AF950" t="s">
        <v>74</v>
      </c>
      <c r="AG950">
        <v>38</v>
      </c>
      <c r="AH950">
        <v>0</v>
      </c>
      <c r="AI950">
        <v>4</v>
      </c>
      <c r="AJ950">
        <v>0</v>
      </c>
      <c r="AK950">
        <v>2</v>
      </c>
      <c r="AL950" t="s">
        <v>11915</v>
      </c>
      <c r="AM950" t="s">
        <v>2505</v>
      </c>
      <c r="AN950" t="s">
        <v>11916</v>
      </c>
      <c r="AO950" t="s">
        <v>11917</v>
      </c>
      <c r="AP950" t="s">
        <v>74</v>
      </c>
      <c r="AQ950" t="s">
        <v>11974</v>
      </c>
      <c r="AR950" t="s">
        <v>11919</v>
      </c>
      <c r="AS950" t="s">
        <v>74</v>
      </c>
      <c r="AT950" t="s">
        <v>74</v>
      </c>
      <c r="AU950">
        <v>1999</v>
      </c>
      <c r="AV950">
        <v>29</v>
      </c>
      <c r="AW950" t="s">
        <v>74</v>
      </c>
      <c r="AX950" t="s">
        <v>74</v>
      </c>
      <c r="AY950" t="s">
        <v>74</v>
      </c>
      <c r="AZ950" t="s">
        <v>74</v>
      </c>
      <c r="BA950" t="s">
        <v>74</v>
      </c>
      <c r="BB950">
        <v>84</v>
      </c>
      <c r="BC950">
        <v>88</v>
      </c>
      <c r="BD950" t="s">
        <v>74</v>
      </c>
      <c r="BE950" t="s">
        <v>74</v>
      </c>
      <c r="BF950" t="s">
        <v>74</v>
      </c>
      <c r="BG950" t="s">
        <v>74</v>
      </c>
      <c r="BH950" t="s">
        <v>74</v>
      </c>
      <c r="BI950">
        <v>5</v>
      </c>
      <c r="BJ950" t="s">
        <v>11976</v>
      </c>
      <c r="BK950" t="s">
        <v>143</v>
      </c>
      <c r="BL950" t="s">
        <v>11977</v>
      </c>
      <c r="BM950" t="s">
        <v>11978</v>
      </c>
      <c r="BN950" t="s">
        <v>74</v>
      </c>
      <c r="BO950" t="s">
        <v>74</v>
      </c>
      <c r="BP950" t="s">
        <v>74</v>
      </c>
      <c r="BQ950" t="s">
        <v>74</v>
      </c>
      <c r="BR950" t="s">
        <v>99</v>
      </c>
      <c r="BS950" t="s">
        <v>12107</v>
      </c>
      <c r="BT950" t="str">
        <f>HYPERLINK("https%3A%2F%2Fwww.webofscience.com%2Fwos%2Fwoscc%2Ffull-record%2FWOS:000086691400015","View Full Record in Web of Science")</f>
        <v>View Full Record in Web of Science</v>
      </c>
    </row>
    <row r="951" spans="1:72" x14ac:dyDescent="0.15">
      <c r="A951" t="s">
        <v>1295</v>
      </c>
      <c r="B951" t="s">
        <v>12108</v>
      </c>
      <c r="C951" t="s">
        <v>74</v>
      </c>
      <c r="D951" t="s">
        <v>11960</v>
      </c>
      <c r="E951" t="s">
        <v>74</v>
      </c>
      <c r="F951" t="s">
        <v>12108</v>
      </c>
      <c r="G951" t="s">
        <v>74</v>
      </c>
      <c r="H951" t="s">
        <v>74</v>
      </c>
      <c r="I951" t="s">
        <v>12109</v>
      </c>
      <c r="J951" t="s">
        <v>11962</v>
      </c>
      <c r="K951" t="s">
        <v>11906</v>
      </c>
      <c r="L951" t="s">
        <v>74</v>
      </c>
      <c r="M951" t="s">
        <v>77</v>
      </c>
      <c r="N951" t="s">
        <v>123</v>
      </c>
      <c r="O951" t="s">
        <v>11963</v>
      </c>
      <c r="P951" t="s">
        <v>11964</v>
      </c>
      <c r="Q951" t="s">
        <v>11965</v>
      </c>
      <c r="R951" t="s">
        <v>74</v>
      </c>
      <c r="S951" t="s">
        <v>11966</v>
      </c>
      <c r="T951" t="s">
        <v>74</v>
      </c>
      <c r="U951" t="s">
        <v>12110</v>
      </c>
      <c r="V951" t="s">
        <v>12111</v>
      </c>
      <c r="W951" t="s">
        <v>12112</v>
      </c>
      <c r="X951" t="s">
        <v>12113</v>
      </c>
      <c r="Y951" t="s">
        <v>12114</v>
      </c>
      <c r="Z951" t="s">
        <v>74</v>
      </c>
      <c r="AA951" t="s">
        <v>12115</v>
      </c>
      <c r="AB951" t="s">
        <v>7744</v>
      </c>
      <c r="AC951" t="s">
        <v>74</v>
      </c>
      <c r="AD951" t="s">
        <v>74</v>
      </c>
      <c r="AE951" t="s">
        <v>74</v>
      </c>
      <c r="AF951" t="s">
        <v>74</v>
      </c>
      <c r="AG951">
        <v>19</v>
      </c>
      <c r="AH951">
        <v>38</v>
      </c>
      <c r="AI951">
        <v>40</v>
      </c>
      <c r="AJ951">
        <v>0</v>
      </c>
      <c r="AK951">
        <v>8</v>
      </c>
      <c r="AL951" t="s">
        <v>11915</v>
      </c>
      <c r="AM951" t="s">
        <v>2505</v>
      </c>
      <c r="AN951" t="s">
        <v>11916</v>
      </c>
      <c r="AO951" t="s">
        <v>11917</v>
      </c>
      <c r="AP951" t="s">
        <v>74</v>
      </c>
      <c r="AQ951" t="s">
        <v>11974</v>
      </c>
      <c r="AR951" t="s">
        <v>11919</v>
      </c>
      <c r="AS951" t="s">
        <v>74</v>
      </c>
      <c r="AT951" t="s">
        <v>74</v>
      </c>
      <c r="AU951">
        <v>1999</v>
      </c>
      <c r="AV951">
        <v>29</v>
      </c>
      <c r="AW951" t="s">
        <v>74</v>
      </c>
      <c r="AX951" t="s">
        <v>74</v>
      </c>
      <c r="AY951" t="s">
        <v>74</v>
      </c>
      <c r="AZ951" t="s">
        <v>74</v>
      </c>
      <c r="BA951" t="s">
        <v>74</v>
      </c>
      <c r="BB951">
        <v>89</v>
      </c>
      <c r="BC951">
        <v>93</v>
      </c>
      <c r="BD951" t="s">
        <v>74</v>
      </c>
      <c r="BE951" t="s">
        <v>12116</v>
      </c>
      <c r="BF951" t="str">
        <f>HYPERLINK("http://dx.doi.org/10.3189/172756499781820888","http://dx.doi.org/10.3189/172756499781820888")</f>
        <v>http://dx.doi.org/10.3189/172756499781820888</v>
      </c>
      <c r="BG951" t="s">
        <v>74</v>
      </c>
      <c r="BH951" t="s">
        <v>74</v>
      </c>
      <c r="BI951">
        <v>5</v>
      </c>
      <c r="BJ951" t="s">
        <v>11976</v>
      </c>
      <c r="BK951" t="s">
        <v>143</v>
      </c>
      <c r="BL951" t="s">
        <v>11977</v>
      </c>
      <c r="BM951" t="s">
        <v>11978</v>
      </c>
      <c r="BN951" t="s">
        <v>74</v>
      </c>
      <c r="BO951" t="s">
        <v>250</v>
      </c>
      <c r="BP951" t="s">
        <v>74</v>
      </c>
      <c r="BQ951" t="s">
        <v>74</v>
      </c>
      <c r="BR951" t="s">
        <v>99</v>
      </c>
      <c r="BS951" t="s">
        <v>12117</v>
      </c>
      <c r="BT951" t="str">
        <f>HYPERLINK("https%3A%2F%2Fwww.webofscience.com%2Fwos%2Fwoscc%2Ffull-record%2FWOS:000086691400016","View Full Record in Web of Science")</f>
        <v>View Full Record in Web of Science</v>
      </c>
    </row>
    <row r="952" spans="1:72" x14ac:dyDescent="0.15">
      <c r="A952" t="s">
        <v>1295</v>
      </c>
      <c r="B952" t="s">
        <v>12118</v>
      </c>
      <c r="C952" t="s">
        <v>74</v>
      </c>
      <c r="D952" t="s">
        <v>11960</v>
      </c>
      <c r="E952" t="s">
        <v>74</v>
      </c>
      <c r="F952" t="s">
        <v>12118</v>
      </c>
      <c r="G952" t="s">
        <v>74</v>
      </c>
      <c r="H952" t="s">
        <v>74</v>
      </c>
      <c r="I952" t="s">
        <v>12119</v>
      </c>
      <c r="J952" t="s">
        <v>11962</v>
      </c>
      <c r="K952" t="s">
        <v>11937</v>
      </c>
      <c r="L952" t="s">
        <v>74</v>
      </c>
      <c r="M952" t="s">
        <v>77</v>
      </c>
      <c r="N952" t="s">
        <v>123</v>
      </c>
      <c r="O952" t="s">
        <v>11963</v>
      </c>
      <c r="P952" t="s">
        <v>11964</v>
      </c>
      <c r="Q952" t="s">
        <v>11965</v>
      </c>
      <c r="R952" t="s">
        <v>74</v>
      </c>
      <c r="S952" t="s">
        <v>11966</v>
      </c>
      <c r="T952" t="s">
        <v>74</v>
      </c>
      <c r="U952" t="s">
        <v>12120</v>
      </c>
      <c r="V952" t="s">
        <v>12121</v>
      </c>
      <c r="W952" t="s">
        <v>12122</v>
      </c>
      <c r="X952" t="s">
        <v>12123</v>
      </c>
      <c r="Y952" t="s">
        <v>12015</v>
      </c>
      <c r="Z952" t="s">
        <v>74</v>
      </c>
      <c r="AA952" t="s">
        <v>12062</v>
      </c>
      <c r="AB952" t="s">
        <v>12124</v>
      </c>
      <c r="AC952" t="s">
        <v>74</v>
      </c>
      <c r="AD952" t="s">
        <v>74</v>
      </c>
      <c r="AE952" t="s">
        <v>74</v>
      </c>
      <c r="AF952" t="s">
        <v>74</v>
      </c>
      <c r="AG952">
        <v>18</v>
      </c>
      <c r="AH952">
        <v>8</v>
      </c>
      <c r="AI952">
        <v>10</v>
      </c>
      <c r="AJ952">
        <v>0</v>
      </c>
      <c r="AK952">
        <v>2</v>
      </c>
      <c r="AL952" t="s">
        <v>11915</v>
      </c>
      <c r="AM952" t="s">
        <v>2505</v>
      </c>
      <c r="AN952" t="s">
        <v>11945</v>
      </c>
      <c r="AO952" t="s">
        <v>11917</v>
      </c>
      <c r="AP952" t="s">
        <v>74</v>
      </c>
      <c r="AQ952" t="s">
        <v>11974</v>
      </c>
      <c r="AR952" t="s">
        <v>11946</v>
      </c>
      <c r="AS952" t="s">
        <v>74</v>
      </c>
      <c r="AT952" t="s">
        <v>74</v>
      </c>
      <c r="AU952">
        <v>1999</v>
      </c>
      <c r="AV952">
        <v>29</v>
      </c>
      <c r="AW952" t="s">
        <v>74</v>
      </c>
      <c r="AX952" t="s">
        <v>74</v>
      </c>
      <c r="AY952" t="s">
        <v>74</v>
      </c>
      <c r="AZ952" t="s">
        <v>74</v>
      </c>
      <c r="BA952" t="s">
        <v>74</v>
      </c>
      <c r="BB952">
        <v>94</v>
      </c>
      <c r="BC952">
        <v>98</v>
      </c>
      <c r="BD952" t="s">
        <v>74</v>
      </c>
      <c r="BE952" t="s">
        <v>74</v>
      </c>
      <c r="BF952" t="s">
        <v>74</v>
      </c>
      <c r="BG952" t="s">
        <v>74</v>
      </c>
      <c r="BH952" t="s">
        <v>74</v>
      </c>
      <c r="BI952">
        <v>5</v>
      </c>
      <c r="BJ952" t="s">
        <v>11976</v>
      </c>
      <c r="BK952" t="s">
        <v>143</v>
      </c>
      <c r="BL952" t="s">
        <v>11977</v>
      </c>
      <c r="BM952" t="s">
        <v>11978</v>
      </c>
      <c r="BN952" t="s">
        <v>74</v>
      </c>
      <c r="BO952" t="s">
        <v>74</v>
      </c>
      <c r="BP952" t="s">
        <v>74</v>
      </c>
      <c r="BQ952" t="s">
        <v>74</v>
      </c>
      <c r="BR952" t="s">
        <v>99</v>
      </c>
      <c r="BS952" t="s">
        <v>12125</v>
      </c>
      <c r="BT952" t="str">
        <f>HYPERLINK("https%3A%2F%2Fwww.webofscience.com%2Fwos%2Fwoscc%2Ffull-record%2FWOS:000086691400017","View Full Record in Web of Science")</f>
        <v>View Full Record in Web of Science</v>
      </c>
    </row>
    <row r="953" spans="1:72" x14ac:dyDescent="0.15">
      <c r="A953" t="s">
        <v>1295</v>
      </c>
      <c r="B953" t="s">
        <v>12126</v>
      </c>
      <c r="C953" t="s">
        <v>74</v>
      </c>
      <c r="D953" t="s">
        <v>11960</v>
      </c>
      <c r="E953" t="s">
        <v>74</v>
      </c>
      <c r="F953" t="s">
        <v>12126</v>
      </c>
      <c r="G953" t="s">
        <v>74</v>
      </c>
      <c r="H953" t="s">
        <v>74</v>
      </c>
      <c r="I953" t="s">
        <v>12127</v>
      </c>
      <c r="J953" t="s">
        <v>11962</v>
      </c>
      <c r="K953" t="s">
        <v>11937</v>
      </c>
      <c r="L953" t="s">
        <v>74</v>
      </c>
      <c r="M953" t="s">
        <v>77</v>
      </c>
      <c r="N953" t="s">
        <v>123</v>
      </c>
      <c r="O953" t="s">
        <v>11963</v>
      </c>
      <c r="P953" t="s">
        <v>11964</v>
      </c>
      <c r="Q953" t="s">
        <v>11965</v>
      </c>
      <c r="R953" t="s">
        <v>74</v>
      </c>
      <c r="S953" t="s">
        <v>11966</v>
      </c>
      <c r="T953" t="s">
        <v>74</v>
      </c>
      <c r="U953" t="s">
        <v>12128</v>
      </c>
      <c r="V953" t="s">
        <v>12129</v>
      </c>
      <c r="W953" t="s">
        <v>12130</v>
      </c>
      <c r="X953" t="s">
        <v>12131</v>
      </c>
      <c r="Y953" t="s">
        <v>1788</v>
      </c>
      <c r="Z953" t="s">
        <v>74</v>
      </c>
      <c r="AA953" t="s">
        <v>8853</v>
      </c>
      <c r="AB953" t="s">
        <v>8854</v>
      </c>
      <c r="AC953" t="s">
        <v>74</v>
      </c>
      <c r="AD953" t="s">
        <v>74</v>
      </c>
      <c r="AE953" t="s">
        <v>74</v>
      </c>
      <c r="AF953" t="s">
        <v>74</v>
      </c>
      <c r="AG953">
        <v>31</v>
      </c>
      <c r="AH953">
        <v>25</v>
      </c>
      <c r="AI953">
        <v>29</v>
      </c>
      <c r="AJ953">
        <v>0</v>
      </c>
      <c r="AK953">
        <v>3</v>
      </c>
      <c r="AL953" t="s">
        <v>11915</v>
      </c>
      <c r="AM953" t="s">
        <v>2505</v>
      </c>
      <c r="AN953" t="s">
        <v>11945</v>
      </c>
      <c r="AO953" t="s">
        <v>11917</v>
      </c>
      <c r="AP953" t="s">
        <v>74</v>
      </c>
      <c r="AQ953" t="s">
        <v>11974</v>
      </c>
      <c r="AR953" t="s">
        <v>11946</v>
      </c>
      <c r="AS953" t="s">
        <v>74</v>
      </c>
      <c r="AT953" t="s">
        <v>74</v>
      </c>
      <c r="AU953">
        <v>1999</v>
      </c>
      <c r="AV953">
        <v>29</v>
      </c>
      <c r="AW953" t="s">
        <v>74</v>
      </c>
      <c r="AX953" t="s">
        <v>74</v>
      </c>
      <c r="AY953" t="s">
        <v>74</v>
      </c>
      <c r="AZ953" t="s">
        <v>74</v>
      </c>
      <c r="BA953" t="s">
        <v>74</v>
      </c>
      <c r="BB953">
        <v>99</v>
      </c>
      <c r="BC953">
        <v>105</v>
      </c>
      <c r="BD953" t="s">
        <v>74</v>
      </c>
      <c r="BE953" t="s">
        <v>12132</v>
      </c>
      <c r="BF953" t="str">
        <f>HYPERLINK("http://dx.doi.org/10.3189/172756499781821319","http://dx.doi.org/10.3189/172756499781821319")</f>
        <v>http://dx.doi.org/10.3189/172756499781821319</v>
      </c>
      <c r="BG953" t="s">
        <v>74</v>
      </c>
      <c r="BH953" t="s">
        <v>74</v>
      </c>
      <c r="BI953">
        <v>7</v>
      </c>
      <c r="BJ953" t="s">
        <v>11976</v>
      </c>
      <c r="BK953" t="s">
        <v>143</v>
      </c>
      <c r="BL953" t="s">
        <v>11977</v>
      </c>
      <c r="BM953" t="s">
        <v>11978</v>
      </c>
      <c r="BN953" t="s">
        <v>74</v>
      </c>
      <c r="BO953" t="s">
        <v>250</v>
      </c>
      <c r="BP953" t="s">
        <v>74</v>
      </c>
      <c r="BQ953" t="s">
        <v>74</v>
      </c>
      <c r="BR953" t="s">
        <v>99</v>
      </c>
      <c r="BS953" t="s">
        <v>12133</v>
      </c>
      <c r="BT953" t="str">
        <f>HYPERLINK("https%3A%2F%2Fwww.webofscience.com%2Fwos%2Fwoscc%2Ffull-record%2FWOS:000086691400018","View Full Record in Web of Science")</f>
        <v>View Full Record in Web of Science</v>
      </c>
    </row>
    <row r="954" spans="1:72" x14ac:dyDescent="0.15">
      <c r="A954" t="s">
        <v>1295</v>
      </c>
      <c r="B954" t="s">
        <v>12134</v>
      </c>
      <c r="C954" t="s">
        <v>74</v>
      </c>
      <c r="D954" t="s">
        <v>11960</v>
      </c>
      <c r="E954" t="s">
        <v>74</v>
      </c>
      <c r="F954" t="s">
        <v>12134</v>
      </c>
      <c r="G954" t="s">
        <v>74</v>
      </c>
      <c r="H954" t="s">
        <v>74</v>
      </c>
      <c r="I954" t="s">
        <v>12135</v>
      </c>
      <c r="J954" t="s">
        <v>11962</v>
      </c>
      <c r="K954" t="s">
        <v>11937</v>
      </c>
      <c r="L954" t="s">
        <v>74</v>
      </c>
      <c r="M954" t="s">
        <v>77</v>
      </c>
      <c r="N954" t="s">
        <v>123</v>
      </c>
      <c r="O954" t="s">
        <v>11963</v>
      </c>
      <c r="P954" t="s">
        <v>11964</v>
      </c>
      <c r="Q954" t="s">
        <v>11965</v>
      </c>
      <c r="R954" t="s">
        <v>74</v>
      </c>
      <c r="S954" t="s">
        <v>11966</v>
      </c>
      <c r="T954" t="s">
        <v>74</v>
      </c>
      <c r="U954" t="s">
        <v>12136</v>
      </c>
      <c r="V954" t="s">
        <v>12137</v>
      </c>
      <c r="W954" t="s">
        <v>12138</v>
      </c>
      <c r="X954" t="s">
        <v>12139</v>
      </c>
      <c r="Y954" t="s">
        <v>12140</v>
      </c>
      <c r="Z954" t="s">
        <v>74</v>
      </c>
      <c r="AA954" t="s">
        <v>12141</v>
      </c>
      <c r="AB954" t="s">
        <v>12142</v>
      </c>
      <c r="AC954" t="s">
        <v>74</v>
      </c>
      <c r="AD954" t="s">
        <v>74</v>
      </c>
      <c r="AE954" t="s">
        <v>74</v>
      </c>
      <c r="AF954" t="s">
        <v>74</v>
      </c>
      <c r="AG954">
        <v>54</v>
      </c>
      <c r="AH954">
        <v>22</v>
      </c>
      <c r="AI954">
        <v>33</v>
      </c>
      <c r="AJ954">
        <v>0</v>
      </c>
      <c r="AK954">
        <v>2</v>
      </c>
      <c r="AL954" t="s">
        <v>11915</v>
      </c>
      <c r="AM954" t="s">
        <v>2505</v>
      </c>
      <c r="AN954" t="s">
        <v>11945</v>
      </c>
      <c r="AO954" t="s">
        <v>11917</v>
      </c>
      <c r="AP954" t="s">
        <v>74</v>
      </c>
      <c r="AQ954" t="s">
        <v>11974</v>
      </c>
      <c r="AR954" t="s">
        <v>11946</v>
      </c>
      <c r="AS954" t="s">
        <v>74</v>
      </c>
      <c r="AT954" t="s">
        <v>74</v>
      </c>
      <c r="AU954">
        <v>1999</v>
      </c>
      <c r="AV954">
        <v>29</v>
      </c>
      <c r="AW954" t="s">
        <v>74</v>
      </c>
      <c r="AX954" t="s">
        <v>74</v>
      </c>
      <c r="AY954" t="s">
        <v>74</v>
      </c>
      <c r="AZ954" t="s">
        <v>74</v>
      </c>
      <c r="BA954" t="s">
        <v>74</v>
      </c>
      <c r="BB954">
        <v>106</v>
      </c>
      <c r="BC954">
        <v>112</v>
      </c>
      <c r="BD954" t="s">
        <v>74</v>
      </c>
      <c r="BE954" t="s">
        <v>12143</v>
      </c>
      <c r="BF954" t="str">
        <f>HYPERLINK("http://dx.doi.org/10.3189/172756499781821175","http://dx.doi.org/10.3189/172756499781821175")</f>
        <v>http://dx.doi.org/10.3189/172756499781821175</v>
      </c>
      <c r="BG954" t="s">
        <v>74</v>
      </c>
      <c r="BH954" t="s">
        <v>74</v>
      </c>
      <c r="BI954">
        <v>7</v>
      </c>
      <c r="BJ954" t="s">
        <v>11976</v>
      </c>
      <c r="BK954" t="s">
        <v>143</v>
      </c>
      <c r="BL954" t="s">
        <v>11977</v>
      </c>
      <c r="BM954" t="s">
        <v>11978</v>
      </c>
      <c r="BN954" t="s">
        <v>74</v>
      </c>
      <c r="BO954" t="s">
        <v>1505</v>
      </c>
      <c r="BP954" t="s">
        <v>74</v>
      </c>
      <c r="BQ954" t="s">
        <v>74</v>
      </c>
      <c r="BR954" t="s">
        <v>99</v>
      </c>
      <c r="BS954" t="s">
        <v>12144</v>
      </c>
      <c r="BT954" t="str">
        <f>HYPERLINK("https%3A%2F%2Fwww.webofscience.com%2Fwos%2Fwoscc%2Ffull-record%2FWOS:000086691400019","View Full Record in Web of Science")</f>
        <v>View Full Record in Web of Science</v>
      </c>
    </row>
    <row r="955" spans="1:72" x14ac:dyDescent="0.15">
      <c r="A955" t="s">
        <v>1295</v>
      </c>
      <c r="B955" t="s">
        <v>12145</v>
      </c>
      <c r="C955" t="s">
        <v>74</v>
      </c>
      <c r="D955" t="s">
        <v>11960</v>
      </c>
      <c r="E955" t="s">
        <v>74</v>
      </c>
      <c r="F955" t="s">
        <v>12145</v>
      </c>
      <c r="G955" t="s">
        <v>74</v>
      </c>
      <c r="H955" t="s">
        <v>74</v>
      </c>
      <c r="I955" t="s">
        <v>12146</v>
      </c>
      <c r="J955" t="s">
        <v>11962</v>
      </c>
      <c r="K955" t="s">
        <v>11937</v>
      </c>
      <c r="L955" t="s">
        <v>74</v>
      </c>
      <c r="M955" t="s">
        <v>77</v>
      </c>
      <c r="N955" t="s">
        <v>123</v>
      </c>
      <c r="O955" t="s">
        <v>11963</v>
      </c>
      <c r="P955" t="s">
        <v>11964</v>
      </c>
      <c r="Q955" t="s">
        <v>11965</v>
      </c>
      <c r="R955" t="s">
        <v>74</v>
      </c>
      <c r="S955" t="s">
        <v>11966</v>
      </c>
      <c r="T955" t="s">
        <v>74</v>
      </c>
      <c r="U955" t="s">
        <v>12147</v>
      </c>
      <c r="V955" t="s">
        <v>12148</v>
      </c>
      <c r="W955" t="s">
        <v>12149</v>
      </c>
      <c r="X955" t="s">
        <v>12150</v>
      </c>
      <c r="Y955" t="s">
        <v>12151</v>
      </c>
      <c r="Z955" t="s">
        <v>74</v>
      </c>
      <c r="AA955" t="s">
        <v>12152</v>
      </c>
      <c r="AB955" t="s">
        <v>12153</v>
      </c>
      <c r="AC955" t="s">
        <v>74</v>
      </c>
      <c r="AD955" t="s">
        <v>74</v>
      </c>
      <c r="AE955" t="s">
        <v>74</v>
      </c>
      <c r="AF955" t="s">
        <v>74</v>
      </c>
      <c r="AG955">
        <v>39</v>
      </c>
      <c r="AH955">
        <v>8</v>
      </c>
      <c r="AI955">
        <v>8</v>
      </c>
      <c r="AJ955">
        <v>0</v>
      </c>
      <c r="AK955">
        <v>6</v>
      </c>
      <c r="AL955" t="s">
        <v>11915</v>
      </c>
      <c r="AM955" t="s">
        <v>2505</v>
      </c>
      <c r="AN955" t="s">
        <v>11945</v>
      </c>
      <c r="AO955" t="s">
        <v>11917</v>
      </c>
      <c r="AP955" t="s">
        <v>74</v>
      </c>
      <c r="AQ955" t="s">
        <v>11974</v>
      </c>
      <c r="AR955" t="s">
        <v>11946</v>
      </c>
      <c r="AS955" t="s">
        <v>74</v>
      </c>
      <c r="AT955" t="s">
        <v>74</v>
      </c>
      <c r="AU955">
        <v>1999</v>
      </c>
      <c r="AV955">
        <v>29</v>
      </c>
      <c r="AW955" t="s">
        <v>74</v>
      </c>
      <c r="AX955" t="s">
        <v>74</v>
      </c>
      <c r="AY955" t="s">
        <v>74</v>
      </c>
      <c r="AZ955" t="s">
        <v>74</v>
      </c>
      <c r="BA955" t="s">
        <v>74</v>
      </c>
      <c r="BB955">
        <v>113</v>
      </c>
      <c r="BC955">
        <v>120</v>
      </c>
      <c r="BD955" t="s">
        <v>74</v>
      </c>
      <c r="BE955" t="s">
        <v>12154</v>
      </c>
      <c r="BF955" t="str">
        <f>HYPERLINK("http://dx.doi.org/10.3189/172756499781821265","http://dx.doi.org/10.3189/172756499781821265")</f>
        <v>http://dx.doi.org/10.3189/172756499781821265</v>
      </c>
      <c r="BG955" t="s">
        <v>74</v>
      </c>
      <c r="BH955" t="s">
        <v>74</v>
      </c>
      <c r="BI955">
        <v>8</v>
      </c>
      <c r="BJ955" t="s">
        <v>11976</v>
      </c>
      <c r="BK955" t="s">
        <v>143</v>
      </c>
      <c r="BL955" t="s">
        <v>11977</v>
      </c>
      <c r="BM955" t="s">
        <v>11978</v>
      </c>
      <c r="BN955" t="s">
        <v>74</v>
      </c>
      <c r="BO955" t="s">
        <v>1505</v>
      </c>
      <c r="BP955" t="s">
        <v>74</v>
      </c>
      <c r="BQ955" t="s">
        <v>74</v>
      </c>
      <c r="BR955" t="s">
        <v>99</v>
      </c>
      <c r="BS955" t="s">
        <v>12155</v>
      </c>
      <c r="BT955" t="str">
        <f>HYPERLINK("https%3A%2F%2Fwww.webofscience.com%2Fwos%2Fwoscc%2Ffull-record%2FWOS:000086691400020","View Full Record in Web of Science")</f>
        <v>View Full Record in Web of Science</v>
      </c>
    </row>
    <row r="956" spans="1:72" x14ac:dyDescent="0.15">
      <c r="A956" t="s">
        <v>1295</v>
      </c>
      <c r="B956" t="s">
        <v>12156</v>
      </c>
      <c r="C956" t="s">
        <v>74</v>
      </c>
      <c r="D956" t="s">
        <v>11960</v>
      </c>
      <c r="E956" t="s">
        <v>74</v>
      </c>
      <c r="F956" t="s">
        <v>12156</v>
      </c>
      <c r="G956" t="s">
        <v>74</v>
      </c>
      <c r="H956" t="s">
        <v>74</v>
      </c>
      <c r="I956" t="s">
        <v>12157</v>
      </c>
      <c r="J956" t="s">
        <v>11962</v>
      </c>
      <c r="K956" t="s">
        <v>11906</v>
      </c>
      <c r="L956" t="s">
        <v>74</v>
      </c>
      <c r="M956" t="s">
        <v>77</v>
      </c>
      <c r="N956" t="s">
        <v>123</v>
      </c>
      <c r="O956" t="s">
        <v>11963</v>
      </c>
      <c r="P956" t="s">
        <v>11964</v>
      </c>
      <c r="Q956" t="s">
        <v>11965</v>
      </c>
      <c r="R956" t="s">
        <v>74</v>
      </c>
      <c r="S956" t="s">
        <v>11966</v>
      </c>
      <c r="T956" t="s">
        <v>74</v>
      </c>
      <c r="U956" t="s">
        <v>12158</v>
      </c>
      <c r="V956" t="s">
        <v>12159</v>
      </c>
      <c r="W956" t="s">
        <v>12160</v>
      </c>
      <c r="X956" t="s">
        <v>12161</v>
      </c>
      <c r="Y956" t="s">
        <v>12162</v>
      </c>
      <c r="Z956" t="s">
        <v>74</v>
      </c>
      <c r="AA956" t="s">
        <v>74</v>
      </c>
      <c r="AB956" t="s">
        <v>74</v>
      </c>
      <c r="AC956" t="s">
        <v>74</v>
      </c>
      <c r="AD956" t="s">
        <v>74</v>
      </c>
      <c r="AE956" t="s">
        <v>74</v>
      </c>
      <c r="AF956" t="s">
        <v>74</v>
      </c>
      <c r="AG956">
        <v>26</v>
      </c>
      <c r="AH956">
        <v>13</v>
      </c>
      <c r="AI956">
        <v>14</v>
      </c>
      <c r="AJ956">
        <v>0</v>
      </c>
      <c r="AK956">
        <v>4</v>
      </c>
      <c r="AL956" t="s">
        <v>11915</v>
      </c>
      <c r="AM956" t="s">
        <v>2505</v>
      </c>
      <c r="AN956" t="s">
        <v>11916</v>
      </c>
      <c r="AO956" t="s">
        <v>11917</v>
      </c>
      <c r="AP956" t="s">
        <v>74</v>
      </c>
      <c r="AQ956" t="s">
        <v>11974</v>
      </c>
      <c r="AR956" t="s">
        <v>11919</v>
      </c>
      <c r="AS956" t="s">
        <v>74</v>
      </c>
      <c r="AT956" t="s">
        <v>74</v>
      </c>
      <c r="AU956">
        <v>1999</v>
      </c>
      <c r="AV956">
        <v>29</v>
      </c>
      <c r="AW956" t="s">
        <v>74</v>
      </c>
      <c r="AX956" t="s">
        <v>74</v>
      </c>
      <c r="AY956" t="s">
        <v>74</v>
      </c>
      <c r="AZ956" t="s">
        <v>74</v>
      </c>
      <c r="BA956" t="s">
        <v>74</v>
      </c>
      <c r="BB956">
        <v>121</v>
      </c>
      <c r="BC956">
        <v>125</v>
      </c>
      <c r="BD956" t="s">
        <v>74</v>
      </c>
      <c r="BE956" t="s">
        <v>74</v>
      </c>
      <c r="BF956" t="s">
        <v>74</v>
      </c>
      <c r="BG956" t="s">
        <v>74</v>
      </c>
      <c r="BH956" t="s">
        <v>74</v>
      </c>
      <c r="BI956">
        <v>5</v>
      </c>
      <c r="BJ956" t="s">
        <v>11976</v>
      </c>
      <c r="BK956" t="s">
        <v>143</v>
      </c>
      <c r="BL956" t="s">
        <v>11977</v>
      </c>
      <c r="BM956" t="s">
        <v>11978</v>
      </c>
      <c r="BN956" t="s">
        <v>74</v>
      </c>
      <c r="BO956" t="s">
        <v>74</v>
      </c>
      <c r="BP956" t="s">
        <v>74</v>
      </c>
      <c r="BQ956" t="s">
        <v>74</v>
      </c>
      <c r="BR956" t="s">
        <v>99</v>
      </c>
      <c r="BS956" t="s">
        <v>12163</v>
      </c>
      <c r="BT956" t="str">
        <f>HYPERLINK("https%3A%2F%2Fwww.webofscience.com%2Fwos%2Fwoscc%2Ffull-record%2FWOS:000086691400021","View Full Record in Web of Science")</f>
        <v>View Full Record in Web of Science</v>
      </c>
    </row>
    <row r="957" spans="1:72" x14ac:dyDescent="0.15">
      <c r="A957" t="s">
        <v>1295</v>
      </c>
      <c r="B957" t="s">
        <v>12164</v>
      </c>
      <c r="C957" t="s">
        <v>74</v>
      </c>
      <c r="D957" t="s">
        <v>11960</v>
      </c>
      <c r="E957" t="s">
        <v>74</v>
      </c>
      <c r="F957" t="s">
        <v>12164</v>
      </c>
      <c r="G957" t="s">
        <v>74</v>
      </c>
      <c r="H957" t="s">
        <v>74</v>
      </c>
      <c r="I957" t="s">
        <v>12165</v>
      </c>
      <c r="J957" t="s">
        <v>11962</v>
      </c>
      <c r="K957" t="s">
        <v>11906</v>
      </c>
      <c r="L957" t="s">
        <v>74</v>
      </c>
      <c r="M957" t="s">
        <v>77</v>
      </c>
      <c r="N957" t="s">
        <v>123</v>
      </c>
      <c r="O957" t="s">
        <v>11963</v>
      </c>
      <c r="P957" t="s">
        <v>11964</v>
      </c>
      <c r="Q957" t="s">
        <v>11965</v>
      </c>
      <c r="R957" t="s">
        <v>74</v>
      </c>
      <c r="S957" t="s">
        <v>11966</v>
      </c>
      <c r="T957" t="s">
        <v>74</v>
      </c>
      <c r="U957" t="s">
        <v>12166</v>
      </c>
      <c r="V957" t="s">
        <v>12167</v>
      </c>
      <c r="W957" t="s">
        <v>12168</v>
      </c>
      <c r="X957" t="s">
        <v>12169</v>
      </c>
      <c r="Y957" t="s">
        <v>12170</v>
      </c>
      <c r="Z957" t="s">
        <v>74</v>
      </c>
      <c r="AA957" t="s">
        <v>12171</v>
      </c>
      <c r="AB957" t="s">
        <v>12172</v>
      </c>
      <c r="AC957" t="s">
        <v>74</v>
      </c>
      <c r="AD957" t="s">
        <v>74</v>
      </c>
      <c r="AE957" t="s">
        <v>74</v>
      </c>
      <c r="AF957" t="s">
        <v>74</v>
      </c>
      <c r="AG957">
        <v>21</v>
      </c>
      <c r="AH957">
        <v>22</v>
      </c>
      <c r="AI957">
        <v>23</v>
      </c>
      <c r="AJ957">
        <v>0</v>
      </c>
      <c r="AK957">
        <v>4</v>
      </c>
      <c r="AL957" t="s">
        <v>11915</v>
      </c>
      <c r="AM957" t="s">
        <v>2505</v>
      </c>
      <c r="AN957" t="s">
        <v>11916</v>
      </c>
      <c r="AO957" t="s">
        <v>11917</v>
      </c>
      <c r="AP957" t="s">
        <v>74</v>
      </c>
      <c r="AQ957" t="s">
        <v>11974</v>
      </c>
      <c r="AR957" t="s">
        <v>11919</v>
      </c>
      <c r="AS957" t="s">
        <v>74</v>
      </c>
      <c r="AT957" t="s">
        <v>74</v>
      </c>
      <c r="AU957">
        <v>1999</v>
      </c>
      <c r="AV957">
        <v>29</v>
      </c>
      <c r="AW957" t="s">
        <v>74</v>
      </c>
      <c r="AX957" t="s">
        <v>74</v>
      </c>
      <c r="AY957" t="s">
        <v>74</v>
      </c>
      <c r="AZ957" t="s">
        <v>74</v>
      </c>
      <c r="BA957" t="s">
        <v>74</v>
      </c>
      <c r="BB957">
        <v>126</v>
      </c>
      <c r="BC957">
        <v>130</v>
      </c>
      <c r="BD957" t="s">
        <v>74</v>
      </c>
      <c r="BE957" t="s">
        <v>12173</v>
      </c>
      <c r="BF957" t="str">
        <f>HYPERLINK("http://dx.doi.org/10.3189/172756499781821003","http://dx.doi.org/10.3189/172756499781821003")</f>
        <v>http://dx.doi.org/10.3189/172756499781821003</v>
      </c>
      <c r="BG957" t="s">
        <v>74</v>
      </c>
      <c r="BH957" t="s">
        <v>74</v>
      </c>
      <c r="BI957">
        <v>5</v>
      </c>
      <c r="BJ957" t="s">
        <v>11976</v>
      </c>
      <c r="BK957" t="s">
        <v>143</v>
      </c>
      <c r="BL957" t="s">
        <v>11977</v>
      </c>
      <c r="BM957" t="s">
        <v>11978</v>
      </c>
      <c r="BN957" t="s">
        <v>74</v>
      </c>
      <c r="BO957" t="s">
        <v>250</v>
      </c>
      <c r="BP957" t="s">
        <v>74</v>
      </c>
      <c r="BQ957" t="s">
        <v>74</v>
      </c>
      <c r="BR957" t="s">
        <v>99</v>
      </c>
      <c r="BS957" t="s">
        <v>12174</v>
      </c>
      <c r="BT957" t="str">
        <f>HYPERLINK("https%3A%2F%2Fwww.webofscience.com%2Fwos%2Fwoscc%2Ffull-record%2FWOS:000086691400022","View Full Record in Web of Science")</f>
        <v>View Full Record in Web of Science</v>
      </c>
    </row>
    <row r="958" spans="1:72" x14ac:dyDescent="0.15">
      <c r="A958" t="s">
        <v>1295</v>
      </c>
      <c r="B958" t="s">
        <v>12175</v>
      </c>
      <c r="C958" t="s">
        <v>74</v>
      </c>
      <c r="D958" t="s">
        <v>11960</v>
      </c>
      <c r="E958" t="s">
        <v>74</v>
      </c>
      <c r="F958" t="s">
        <v>12175</v>
      </c>
      <c r="G958" t="s">
        <v>74</v>
      </c>
      <c r="H958" t="s">
        <v>74</v>
      </c>
      <c r="I958" t="s">
        <v>12176</v>
      </c>
      <c r="J958" t="s">
        <v>11962</v>
      </c>
      <c r="K958" t="s">
        <v>11906</v>
      </c>
      <c r="L958" t="s">
        <v>74</v>
      </c>
      <c r="M958" t="s">
        <v>77</v>
      </c>
      <c r="N958" t="s">
        <v>123</v>
      </c>
      <c r="O958" t="s">
        <v>11963</v>
      </c>
      <c r="P958" t="s">
        <v>11964</v>
      </c>
      <c r="Q958" t="s">
        <v>11965</v>
      </c>
      <c r="R958" t="s">
        <v>74</v>
      </c>
      <c r="S958" t="s">
        <v>11966</v>
      </c>
      <c r="T958" t="s">
        <v>74</v>
      </c>
      <c r="U958" t="s">
        <v>74</v>
      </c>
      <c r="V958" t="s">
        <v>12177</v>
      </c>
      <c r="W958" t="s">
        <v>12178</v>
      </c>
      <c r="X958" t="s">
        <v>74</v>
      </c>
      <c r="Y958" t="s">
        <v>12179</v>
      </c>
      <c r="Z958" t="s">
        <v>74</v>
      </c>
      <c r="AA958" t="s">
        <v>12180</v>
      </c>
      <c r="AB958" t="s">
        <v>74</v>
      </c>
      <c r="AC958" t="s">
        <v>74</v>
      </c>
      <c r="AD958" t="s">
        <v>74</v>
      </c>
      <c r="AE958" t="s">
        <v>74</v>
      </c>
      <c r="AF958" t="s">
        <v>74</v>
      </c>
      <c r="AG958">
        <v>22</v>
      </c>
      <c r="AH958">
        <v>21</v>
      </c>
      <c r="AI958">
        <v>22</v>
      </c>
      <c r="AJ958">
        <v>0</v>
      </c>
      <c r="AK958">
        <v>11</v>
      </c>
      <c r="AL958" t="s">
        <v>11915</v>
      </c>
      <c r="AM958" t="s">
        <v>2505</v>
      </c>
      <c r="AN958" t="s">
        <v>11916</v>
      </c>
      <c r="AO958" t="s">
        <v>11917</v>
      </c>
      <c r="AP958" t="s">
        <v>74</v>
      </c>
      <c r="AQ958" t="s">
        <v>11974</v>
      </c>
      <c r="AR958" t="s">
        <v>11919</v>
      </c>
      <c r="AS958" t="s">
        <v>74</v>
      </c>
      <c r="AT958" t="s">
        <v>74</v>
      </c>
      <c r="AU958">
        <v>1999</v>
      </c>
      <c r="AV958">
        <v>29</v>
      </c>
      <c r="AW958" t="s">
        <v>74</v>
      </c>
      <c r="AX958" t="s">
        <v>74</v>
      </c>
      <c r="AY958" t="s">
        <v>74</v>
      </c>
      <c r="AZ958" t="s">
        <v>74</v>
      </c>
      <c r="BA958" t="s">
        <v>74</v>
      </c>
      <c r="BB958">
        <v>131</v>
      </c>
      <c r="BC958">
        <v>135</v>
      </c>
      <c r="BD958" t="s">
        <v>74</v>
      </c>
      <c r="BE958" t="s">
        <v>12181</v>
      </c>
      <c r="BF958" t="str">
        <f>HYPERLINK("http://dx.doi.org/10.3189/172756499781821111","http://dx.doi.org/10.3189/172756499781821111")</f>
        <v>http://dx.doi.org/10.3189/172756499781821111</v>
      </c>
      <c r="BG958" t="s">
        <v>74</v>
      </c>
      <c r="BH958" t="s">
        <v>74</v>
      </c>
      <c r="BI958">
        <v>5</v>
      </c>
      <c r="BJ958" t="s">
        <v>11976</v>
      </c>
      <c r="BK958" t="s">
        <v>143</v>
      </c>
      <c r="BL958" t="s">
        <v>11977</v>
      </c>
      <c r="BM958" t="s">
        <v>11978</v>
      </c>
      <c r="BN958" t="s">
        <v>74</v>
      </c>
      <c r="BO958" t="s">
        <v>1505</v>
      </c>
      <c r="BP958" t="s">
        <v>74</v>
      </c>
      <c r="BQ958" t="s">
        <v>74</v>
      </c>
      <c r="BR958" t="s">
        <v>99</v>
      </c>
      <c r="BS958" t="s">
        <v>12182</v>
      </c>
      <c r="BT958" t="str">
        <f>HYPERLINK("https%3A%2F%2Fwww.webofscience.com%2Fwos%2Fwoscc%2Ffull-record%2FWOS:000086691400023","View Full Record in Web of Science")</f>
        <v>View Full Record in Web of Science</v>
      </c>
    </row>
    <row r="959" spans="1:72" x14ac:dyDescent="0.15">
      <c r="A959" t="s">
        <v>1295</v>
      </c>
      <c r="B959" t="s">
        <v>12183</v>
      </c>
      <c r="C959" t="s">
        <v>74</v>
      </c>
      <c r="D959" t="s">
        <v>11960</v>
      </c>
      <c r="E959" t="s">
        <v>74</v>
      </c>
      <c r="F959" t="s">
        <v>12183</v>
      </c>
      <c r="G959" t="s">
        <v>74</v>
      </c>
      <c r="H959" t="s">
        <v>74</v>
      </c>
      <c r="I959" t="s">
        <v>12184</v>
      </c>
      <c r="J959" t="s">
        <v>11962</v>
      </c>
      <c r="K959" t="s">
        <v>11937</v>
      </c>
      <c r="L959" t="s">
        <v>74</v>
      </c>
      <c r="M959" t="s">
        <v>77</v>
      </c>
      <c r="N959" t="s">
        <v>123</v>
      </c>
      <c r="O959" t="s">
        <v>11963</v>
      </c>
      <c r="P959" t="s">
        <v>11964</v>
      </c>
      <c r="Q959" t="s">
        <v>11965</v>
      </c>
      <c r="R959" t="s">
        <v>74</v>
      </c>
      <c r="S959" t="s">
        <v>11966</v>
      </c>
      <c r="T959" t="s">
        <v>74</v>
      </c>
      <c r="U959" t="s">
        <v>12185</v>
      </c>
      <c r="V959" t="s">
        <v>12186</v>
      </c>
      <c r="W959" t="s">
        <v>12187</v>
      </c>
      <c r="X959" t="s">
        <v>12188</v>
      </c>
      <c r="Y959" t="s">
        <v>12015</v>
      </c>
      <c r="Z959" t="s">
        <v>74</v>
      </c>
      <c r="AA959" t="s">
        <v>8853</v>
      </c>
      <c r="AB959" t="s">
        <v>8854</v>
      </c>
      <c r="AC959" t="s">
        <v>74</v>
      </c>
      <c r="AD959" t="s">
        <v>74</v>
      </c>
      <c r="AE959" t="s">
        <v>74</v>
      </c>
      <c r="AF959" t="s">
        <v>74</v>
      </c>
      <c r="AG959">
        <v>36</v>
      </c>
      <c r="AH959">
        <v>0</v>
      </c>
      <c r="AI959">
        <v>0</v>
      </c>
      <c r="AJ959">
        <v>0</v>
      </c>
      <c r="AK959">
        <v>2</v>
      </c>
      <c r="AL959" t="s">
        <v>11915</v>
      </c>
      <c r="AM959" t="s">
        <v>2505</v>
      </c>
      <c r="AN959" t="s">
        <v>11945</v>
      </c>
      <c r="AO959" t="s">
        <v>11917</v>
      </c>
      <c r="AP959" t="s">
        <v>74</v>
      </c>
      <c r="AQ959" t="s">
        <v>11974</v>
      </c>
      <c r="AR959" t="s">
        <v>11946</v>
      </c>
      <c r="AS959" t="s">
        <v>74</v>
      </c>
      <c r="AT959" t="s">
        <v>74</v>
      </c>
      <c r="AU959">
        <v>1999</v>
      </c>
      <c r="AV959">
        <v>29</v>
      </c>
      <c r="AW959" t="s">
        <v>74</v>
      </c>
      <c r="AX959" t="s">
        <v>74</v>
      </c>
      <c r="AY959" t="s">
        <v>74</v>
      </c>
      <c r="AZ959" t="s">
        <v>74</v>
      </c>
      <c r="BA959" t="s">
        <v>74</v>
      </c>
      <c r="BB959">
        <v>136</v>
      </c>
      <c r="BC959">
        <v>140</v>
      </c>
      <c r="BD959" t="s">
        <v>74</v>
      </c>
      <c r="BE959" t="s">
        <v>74</v>
      </c>
      <c r="BF959" t="s">
        <v>74</v>
      </c>
      <c r="BG959" t="s">
        <v>74</v>
      </c>
      <c r="BH959" t="s">
        <v>74</v>
      </c>
      <c r="BI959">
        <v>5</v>
      </c>
      <c r="BJ959" t="s">
        <v>11976</v>
      </c>
      <c r="BK959" t="s">
        <v>143</v>
      </c>
      <c r="BL959" t="s">
        <v>11977</v>
      </c>
      <c r="BM959" t="s">
        <v>11978</v>
      </c>
      <c r="BN959" t="s">
        <v>74</v>
      </c>
      <c r="BO959" t="s">
        <v>74</v>
      </c>
      <c r="BP959" t="s">
        <v>74</v>
      </c>
      <c r="BQ959" t="s">
        <v>74</v>
      </c>
      <c r="BR959" t="s">
        <v>99</v>
      </c>
      <c r="BS959" t="s">
        <v>12189</v>
      </c>
      <c r="BT959" t="str">
        <f>HYPERLINK("https%3A%2F%2Fwww.webofscience.com%2Fwos%2Fwoscc%2Ffull-record%2FWOS:000086691400024","View Full Record in Web of Science")</f>
        <v>View Full Record in Web of Science</v>
      </c>
    </row>
    <row r="960" spans="1:72" x14ac:dyDescent="0.15">
      <c r="A960" t="s">
        <v>1295</v>
      </c>
      <c r="B960" t="s">
        <v>12190</v>
      </c>
      <c r="C960" t="s">
        <v>74</v>
      </c>
      <c r="D960" t="s">
        <v>11960</v>
      </c>
      <c r="E960" t="s">
        <v>74</v>
      </c>
      <c r="F960" t="s">
        <v>12190</v>
      </c>
      <c r="G960" t="s">
        <v>74</v>
      </c>
      <c r="H960" t="s">
        <v>74</v>
      </c>
      <c r="I960" t="s">
        <v>12191</v>
      </c>
      <c r="J960" t="s">
        <v>11962</v>
      </c>
      <c r="K960" t="s">
        <v>11906</v>
      </c>
      <c r="L960" t="s">
        <v>74</v>
      </c>
      <c r="M960" t="s">
        <v>77</v>
      </c>
      <c r="N960" t="s">
        <v>123</v>
      </c>
      <c r="O960" t="s">
        <v>11963</v>
      </c>
      <c r="P960" t="s">
        <v>11964</v>
      </c>
      <c r="Q960" t="s">
        <v>11965</v>
      </c>
      <c r="R960" t="s">
        <v>74</v>
      </c>
      <c r="S960" t="s">
        <v>11966</v>
      </c>
      <c r="T960" t="s">
        <v>74</v>
      </c>
      <c r="U960" t="s">
        <v>12192</v>
      </c>
      <c r="V960" t="s">
        <v>12193</v>
      </c>
      <c r="W960" t="s">
        <v>12069</v>
      </c>
      <c r="X960" t="s">
        <v>2279</v>
      </c>
      <c r="Y960" t="s">
        <v>12194</v>
      </c>
      <c r="Z960" t="s">
        <v>74</v>
      </c>
      <c r="AA960" t="s">
        <v>12195</v>
      </c>
      <c r="AB960" t="s">
        <v>12196</v>
      </c>
      <c r="AC960" t="s">
        <v>74</v>
      </c>
      <c r="AD960" t="s">
        <v>74</v>
      </c>
      <c r="AE960" t="s">
        <v>74</v>
      </c>
      <c r="AF960" t="s">
        <v>74</v>
      </c>
      <c r="AG960">
        <v>16</v>
      </c>
      <c r="AH960">
        <v>19</v>
      </c>
      <c r="AI960">
        <v>20</v>
      </c>
      <c r="AJ960">
        <v>0</v>
      </c>
      <c r="AK960">
        <v>0</v>
      </c>
      <c r="AL960" t="s">
        <v>11915</v>
      </c>
      <c r="AM960" t="s">
        <v>2505</v>
      </c>
      <c r="AN960" t="s">
        <v>11916</v>
      </c>
      <c r="AO960" t="s">
        <v>11917</v>
      </c>
      <c r="AP960" t="s">
        <v>74</v>
      </c>
      <c r="AQ960" t="s">
        <v>11974</v>
      </c>
      <c r="AR960" t="s">
        <v>11919</v>
      </c>
      <c r="AS960" t="s">
        <v>74</v>
      </c>
      <c r="AT960" t="s">
        <v>74</v>
      </c>
      <c r="AU960">
        <v>1999</v>
      </c>
      <c r="AV960">
        <v>29</v>
      </c>
      <c r="AW960" t="s">
        <v>74</v>
      </c>
      <c r="AX960" t="s">
        <v>74</v>
      </c>
      <c r="AY960" t="s">
        <v>74</v>
      </c>
      <c r="AZ960" t="s">
        <v>74</v>
      </c>
      <c r="BA960" t="s">
        <v>74</v>
      </c>
      <c r="BB960">
        <v>141</v>
      </c>
      <c r="BC960">
        <v>144</v>
      </c>
      <c r="BD960" t="s">
        <v>74</v>
      </c>
      <c r="BE960" t="s">
        <v>12197</v>
      </c>
      <c r="BF960" t="str">
        <f>HYPERLINK("http://dx.doi.org/10.3189/172756499781821382","http://dx.doi.org/10.3189/172756499781821382")</f>
        <v>http://dx.doi.org/10.3189/172756499781821382</v>
      </c>
      <c r="BG960" t="s">
        <v>74</v>
      </c>
      <c r="BH960" t="s">
        <v>74</v>
      </c>
      <c r="BI960">
        <v>4</v>
      </c>
      <c r="BJ960" t="s">
        <v>11976</v>
      </c>
      <c r="BK960" t="s">
        <v>143</v>
      </c>
      <c r="BL960" t="s">
        <v>11977</v>
      </c>
      <c r="BM960" t="s">
        <v>11978</v>
      </c>
      <c r="BN960" t="s">
        <v>74</v>
      </c>
      <c r="BO960" t="s">
        <v>250</v>
      </c>
      <c r="BP960" t="s">
        <v>74</v>
      </c>
      <c r="BQ960" t="s">
        <v>74</v>
      </c>
      <c r="BR960" t="s">
        <v>99</v>
      </c>
      <c r="BS960" t="s">
        <v>12198</v>
      </c>
      <c r="BT960" t="str">
        <f>HYPERLINK("https%3A%2F%2Fwww.webofscience.com%2Fwos%2Fwoscc%2Ffull-record%2FWOS:000086691400025","View Full Record in Web of Science")</f>
        <v>View Full Record in Web of Science</v>
      </c>
    </row>
    <row r="961" spans="1:72" x14ac:dyDescent="0.15">
      <c r="A961" t="s">
        <v>1295</v>
      </c>
      <c r="B961" t="s">
        <v>12199</v>
      </c>
      <c r="C961" t="s">
        <v>74</v>
      </c>
      <c r="D961" t="s">
        <v>11960</v>
      </c>
      <c r="E961" t="s">
        <v>74</v>
      </c>
      <c r="F961" t="s">
        <v>12199</v>
      </c>
      <c r="G961" t="s">
        <v>74</v>
      </c>
      <c r="H961" t="s">
        <v>74</v>
      </c>
      <c r="I961" t="s">
        <v>12200</v>
      </c>
      <c r="J961" t="s">
        <v>11962</v>
      </c>
      <c r="K961" t="s">
        <v>11906</v>
      </c>
      <c r="L961" t="s">
        <v>74</v>
      </c>
      <c r="M961" t="s">
        <v>77</v>
      </c>
      <c r="N961" t="s">
        <v>123</v>
      </c>
      <c r="O961" t="s">
        <v>11963</v>
      </c>
      <c r="P961" t="s">
        <v>11964</v>
      </c>
      <c r="Q961" t="s">
        <v>11965</v>
      </c>
      <c r="R961" t="s">
        <v>74</v>
      </c>
      <c r="S961" t="s">
        <v>11966</v>
      </c>
      <c r="T961" t="s">
        <v>74</v>
      </c>
      <c r="U961" t="s">
        <v>12201</v>
      </c>
      <c r="V961" t="s">
        <v>12202</v>
      </c>
      <c r="W961" t="s">
        <v>12203</v>
      </c>
      <c r="X961" t="s">
        <v>12204</v>
      </c>
      <c r="Y961" t="s">
        <v>12205</v>
      </c>
      <c r="Z961" t="s">
        <v>74</v>
      </c>
      <c r="AA961" t="s">
        <v>12206</v>
      </c>
      <c r="AB961" t="s">
        <v>12207</v>
      </c>
      <c r="AC961" t="s">
        <v>74</v>
      </c>
      <c r="AD961" t="s">
        <v>74</v>
      </c>
      <c r="AE961" t="s">
        <v>74</v>
      </c>
      <c r="AF961" t="s">
        <v>74</v>
      </c>
      <c r="AG961">
        <v>25</v>
      </c>
      <c r="AH961">
        <v>35</v>
      </c>
      <c r="AI961">
        <v>39</v>
      </c>
      <c r="AJ961">
        <v>1</v>
      </c>
      <c r="AK961">
        <v>8</v>
      </c>
      <c r="AL961" t="s">
        <v>11915</v>
      </c>
      <c r="AM961" t="s">
        <v>2505</v>
      </c>
      <c r="AN961" t="s">
        <v>11916</v>
      </c>
      <c r="AO961" t="s">
        <v>11917</v>
      </c>
      <c r="AP961" t="s">
        <v>74</v>
      </c>
      <c r="AQ961" t="s">
        <v>11974</v>
      </c>
      <c r="AR961" t="s">
        <v>11919</v>
      </c>
      <c r="AS961" t="s">
        <v>74</v>
      </c>
      <c r="AT961" t="s">
        <v>74</v>
      </c>
      <c r="AU961">
        <v>1999</v>
      </c>
      <c r="AV961">
        <v>29</v>
      </c>
      <c r="AW961" t="s">
        <v>74</v>
      </c>
      <c r="AX961" t="s">
        <v>74</v>
      </c>
      <c r="AY961" t="s">
        <v>74</v>
      </c>
      <c r="AZ961" t="s">
        <v>74</v>
      </c>
      <c r="BA961" t="s">
        <v>74</v>
      </c>
      <c r="BB961">
        <v>145</v>
      </c>
      <c r="BC961">
        <v>150</v>
      </c>
      <c r="BD961" t="s">
        <v>74</v>
      </c>
      <c r="BE961" t="s">
        <v>12208</v>
      </c>
      <c r="BF961" t="str">
        <f>HYPERLINK("http://dx.doi.org/10.3189/172756499781821102","http://dx.doi.org/10.3189/172756499781821102")</f>
        <v>http://dx.doi.org/10.3189/172756499781821102</v>
      </c>
      <c r="BG961" t="s">
        <v>74</v>
      </c>
      <c r="BH961" t="s">
        <v>74</v>
      </c>
      <c r="BI961">
        <v>6</v>
      </c>
      <c r="BJ961" t="s">
        <v>11976</v>
      </c>
      <c r="BK961" t="s">
        <v>143</v>
      </c>
      <c r="BL961" t="s">
        <v>11977</v>
      </c>
      <c r="BM961" t="s">
        <v>11978</v>
      </c>
      <c r="BN961" t="s">
        <v>74</v>
      </c>
      <c r="BO961" t="s">
        <v>250</v>
      </c>
      <c r="BP961" t="s">
        <v>74</v>
      </c>
      <c r="BQ961" t="s">
        <v>74</v>
      </c>
      <c r="BR961" t="s">
        <v>99</v>
      </c>
      <c r="BS961" t="s">
        <v>12209</v>
      </c>
      <c r="BT961" t="str">
        <f>HYPERLINK("https%3A%2F%2Fwww.webofscience.com%2Fwos%2Fwoscc%2Ffull-record%2FWOS:000086691400026","View Full Record in Web of Science")</f>
        <v>View Full Record in Web of Science</v>
      </c>
    </row>
    <row r="962" spans="1:72" x14ac:dyDescent="0.15">
      <c r="A962" t="s">
        <v>1295</v>
      </c>
      <c r="B962" t="s">
        <v>12210</v>
      </c>
      <c r="C962" t="s">
        <v>74</v>
      </c>
      <c r="D962" t="s">
        <v>11960</v>
      </c>
      <c r="E962" t="s">
        <v>74</v>
      </c>
      <c r="F962" t="s">
        <v>12210</v>
      </c>
      <c r="G962" t="s">
        <v>74</v>
      </c>
      <c r="H962" t="s">
        <v>74</v>
      </c>
      <c r="I962" t="s">
        <v>12211</v>
      </c>
      <c r="J962" t="s">
        <v>11962</v>
      </c>
      <c r="K962" t="s">
        <v>11906</v>
      </c>
      <c r="L962" t="s">
        <v>74</v>
      </c>
      <c r="M962" t="s">
        <v>77</v>
      </c>
      <c r="N962" t="s">
        <v>123</v>
      </c>
      <c r="O962" t="s">
        <v>11963</v>
      </c>
      <c r="P962" t="s">
        <v>11964</v>
      </c>
      <c r="Q962" t="s">
        <v>11965</v>
      </c>
      <c r="R962" t="s">
        <v>74</v>
      </c>
      <c r="S962" t="s">
        <v>11966</v>
      </c>
      <c r="T962" t="s">
        <v>74</v>
      </c>
      <c r="U962" t="s">
        <v>74</v>
      </c>
      <c r="V962" t="s">
        <v>12212</v>
      </c>
      <c r="W962" t="s">
        <v>12213</v>
      </c>
      <c r="X962" t="s">
        <v>12214</v>
      </c>
      <c r="Y962" t="s">
        <v>12215</v>
      </c>
      <c r="Z962" t="s">
        <v>74</v>
      </c>
      <c r="AA962" t="s">
        <v>74</v>
      </c>
      <c r="AB962" t="s">
        <v>74</v>
      </c>
      <c r="AC962" t="s">
        <v>74</v>
      </c>
      <c r="AD962" t="s">
        <v>74</v>
      </c>
      <c r="AE962" t="s">
        <v>74</v>
      </c>
      <c r="AF962" t="s">
        <v>74</v>
      </c>
      <c r="AG962">
        <v>12</v>
      </c>
      <c r="AH962">
        <v>4</v>
      </c>
      <c r="AI962">
        <v>4</v>
      </c>
      <c r="AJ962">
        <v>1</v>
      </c>
      <c r="AK962">
        <v>3</v>
      </c>
      <c r="AL962" t="s">
        <v>11915</v>
      </c>
      <c r="AM962" t="s">
        <v>2505</v>
      </c>
      <c r="AN962" t="s">
        <v>11916</v>
      </c>
      <c r="AO962" t="s">
        <v>11917</v>
      </c>
      <c r="AP962" t="s">
        <v>74</v>
      </c>
      <c r="AQ962" t="s">
        <v>11974</v>
      </c>
      <c r="AR962" t="s">
        <v>11919</v>
      </c>
      <c r="AS962" t="s">
        <v>74</v>
      </c>
      <c r="AT962" t="s">
        <v>74</v>
      </c>
      <c r="AU962">
        <v>1999</v>
      </c>
      <c r="AV962">
        <v>29</v>
      </c>
      <c r="AW962" t="s">
        <v>74</v>
      </c>
      <c r="AX962" t="s">
        <v>74</v>
      </c>
      <c r="AY962" t="s">
        <v>74</v>
      </c>
      <c r="AZ962" t="s">
        <v>74</v>
      </c>
      <c r="BA962" t="s">
        <v>74</v>
      </c>
      <c r="BB962">
        <v>151</v>
      </c>
      <c r="BC962">
        <v>154</v>
      </c>
      <c r="BD962" t="s">
        <v>74</v>
      </c>
      <c r="BE962" t="s">
        <v>12216</v>
      </c>
      <c r="BF962" t="str">
        <f>HYPERLINK("http://dx.doi.org/10.3189/172756499781821210","http://dx.doi.org/10.3189/172756499781821210")</f>
        <v>http://dx.doi.org/10.3189/172756499781821210</v>
      </c>
      <c r="BG962" t="s">
        <v>74</v>
      </c>
      <c r="BH962" t="s">
        <v>74</v>
      </c>
      <c r="BI962">
        <v>4</v>
      </c>
      <c r="BJ962" t="s">
        <v>11976</v>
      </c>
      <c r="BK962" t="s">
        <v>143</v>
      </c>
      <c r="BL962" t="s">
        <v>11977</v>
      </c>
      <c r="BM962" t="s">
        <v>11978</v>
      </c>
      <c r="BN962" t="s">
        <v>74</v>
      </c>
      <c r="BO962" t="s">
        <v>200</v>
      </c>
      <c r="BP962" t="s">
        <v>74</v>
      </c>
      <c r="BQ962" t="s">
        <v>74</v>
      </c>
      <c r="BR962" t="s">
        <v>99</v>
      </c>
      <c r="BS962" t="s">
        <v>12217</v>
      </c>
      <c r="BT962" t="str">
        <f>HYPERLINK("https%3A%2F%2Fwww.webofscience.com%2Fwos%2Fwoscc%2Ffull-record%2FWOS:000086691400027","View Full Record in Web of Science")</f>
        <v>View Full Record in Web of Science</v>
      </c>
    </row>
    <row r="963" spans="1:72" x14ac:dyDescent="0.15">
      <c r="A963" t="s">
        <v>1295</v>
      </c>
      <c r="B963" t="s">
        <v>12218</v>
      </c>
      <c r="C963" t="s">
        <v>74</v>
      </c>
      <c r="D963" t="s">
        <v>11960</v>
      </c>
      <c r="E963" t="s">
        <v>74</v>
      </c>
      <c r="F963" t="s">
        <v>12218</v>
      </c>
      <c r="G963" t="s">
        <v>74</v>
      </c>
      <c r="H963" t="s">
        <v>74</v>
      </c>
      <c r="I963" t="s">
        <v>12219</v>
      </c>
      <c r="J963" t="s">
        <v>11962</v>
      </c>
      <c r="K963" t="s">
        <v>11906</v>
      </c>
      <c r="L963" t="s">
        <v>74</v>
      </c>
      <c r="M963" t="s">
        <v>77</v>
      </c>
      <c r="N963" t="s">
        <v>123</v>
      </c>
      <c r="O963" t="s">
        <v>11963</v>
      </c>
      <c r="P963" t="s">
        <v>11964</v>
      </c>
      <c r="Q963" t="s">
        <v>11965</v>
      </c>
      <c r="R963" t="s">
        <v>74</v>
      </c>
      <c r="S963" t="s">
        <v>11966</v>
      </c>
      <c r="T963" t="s">
        <v>74</v>
      </c>
      <c r="U963" t="s">
        <v>74</v>
      </c>
      <c r="V963" t="s">
        <v>12220</v>
      </c>
      <c r="W963" t="s">
        <v>12221</v>
      </c>
      <c r="X963" t="s">
        <v>12222</v>
      </c>
      <c r="Y963" t="s">
        <v>12223</v>
      </c>
      <c r="Z963" t="s">
        <v>74</v>
      </c>
      <c r="AA963" t="s">
        <v>74</v>
      </c>
      <c r="AB963" t="s">
        <v>74</v>
      </c>
      <c r="AC963" t="s">
        <v>74</v>
      </c>
      <c r="AD963" t="s">
        <v>74</v>
      </c>
      <c r="AE963" t="s">
        <v>74</v>
      </c>
      <c r="AF963" t="s">
        <v>74</v>
      </c>
      <c r="AG963">
        <v>9</v>
      </c>
      <c r="AH963">
        <v>15</v>
      </c>
      <c r="AI963">
        <v>15</v>
      </c>
      <c r="AJ963">
        <v>0</v>
      </c>
      <c r="AK963">
        <v>4</v>
      </c>
      <c r="AL963" t="s">
        <v>11915</v>
      </c>
      <c r="AM963" t="s">
        <v>2505</v>
      </c>
      <c r="AN963" t="s">
        <v>11916</v>
      </c>
      <c r="AO963" t="s">
        <v>11917</v>
      </c>
      <c r="AP963" t="s">
        <v>74</v>
      </c>
      <c r="AQ963" t="s">
        <v>11974</v>
      </c>
      <c r="AR963" t="s">
        <v>11919</v>
      </c>
      <c r="AS963" t="s">
        <v>74</v>
      </c>
      <c r="AT963" t="s">
        <v>74</v>
      </c>
      <c r="AU963">
        <v>1999</v>
      </c>
      <c r="AV963">
        <v>29</v>
      </c>
      <c r="AW963" t="s">
        <v>74</v>
      </c>
      <c r="AX963" t="s">
        <v>74</v>
      </c>
      <c r="AY963" t="s">
        <v>74</v>
      </c>
      <c r="AZ963" t="s">
        <v>74</v>
      </c>
      <c r="BA963" t="s">
        <v>74</v>
      </c>
      <c r="BB963">
        <v>155</v>
      </c>
      <c r="BC963">
        <v>162</v>
      </c>
      <c r="BD963" t="s">
        <v>74</v>
      </c>
      <c r="BE963" t="s">
        <v>12224</v>
      </c>
      <c r="BF963" t="str">
        <f>HYPERLINK("http://dx.doi.org/10.3189/172756499781821021","http://dx.doi.org/10.3189/172756499781821021")</f>
        <v>http://dx.doi.org/10.3189/172756499781821021</v>
      </c>
      <c r="BG963" t="s">
        <v>74</v>
      </c>
      <c r="BH963" t="s">
        <v>74</v>
      </c>
      <c r="BI963">
        <v>8</v>
      </c>
      <c r="BJ963" t="s">
        <v>11976</v>
      </c>
      <c r="BK963" t="s">
        <v>143</v>
      </c>
      <c r="BL963" t="s">
        <v>11977</v>
      </c>
      <c r="BM963" t="s">
        <v>11978</v>
      </c>
      <c r="BN963" t="s">
        <v>74</v>
      </c>
      <c r="BO963" t="s">
        <v>250</v>
      </c>
      <c r="BP963" t="s">
        <v>74</v>
      </c>
      <c r="BQ963" t="s">
        <v>74</v>
      </c>
      <c r="BR963" t="s">
        <v>99</v>
      </c>
      <c r="BS963" t="s">
        <v>12225</v>
      </c>
      <c r="BT963" t="str">
        <f>HYPERLINK("https%3A%2F%2Fwww.webofscience.com%2Fwos%2Fwoscc%2Ffull-record%2FWOS:000086691400028","View Full Record in Web of Science")</f>
        <v>View Full Record in Web of Science</v>
      </c>
    </row>
    <row r="964" spans="1:72" x14ac:dyDescent="0.15">
      <c r="A964" t="s">
        <v>1295</v>
      </c>
      <c r="B964" t="s">
        <v>12226</v>
      </c>
      <c r="C964" t="s">
        <v>74</v>
      </c>
      <c r="D964" t="s">
        <v>11960</v>
      </c>
      <c r="E964" t="s">
        <v>74</v>
      </c>
      <c r="F964" t="s">
        <v>12226</v>
      </c>
      <c r="G964" t="s">
        <v>74</v>
      </c>
      <c r="H964" t="s">
        <v>74</v>
      </c>
      <c r="I964" t="s">
        <v>12227</v>
      </c>
      <c r="J964" t="s">
        <v>11962</v>
      </c>
      <c r="K964" t="s">
        <v>11906</v>
      </c>
      <c r="L964" t="s">
        <v>74</v>
      </c>
      <c r="M964" t="s">
        <v>77</v>
      </c>
      <c r="N964" t="s">
        <v>123</v>
      </c>
      <c r="O964" t="s">
        <v>11963</v>
      </c>
      <c r="P964" t="s">
        <v>11964</v>
      </c>
      <c r="Q964" t="s">
        <v>11965</v>
      </c>
      <c r="R964" t="s">
        <v>74</v>
      </c>
      <c r="S964" t="s">
        <v>11966</v>
      </c>
      <c r="T964" t="s">
        <v>74</v>
      </c>
      <c r="U964" t="s">
        <v>12228</v>
      </c>
      <c r="V964" t="s">
        <v>12229</v>
      </c>
      <c r="W964" t="s">
        <v>12230</v>
      </c>
      <c r="X964" t="s">
        <v>12231</v>
      </c>
      <c r="Y964" t="s">
        <v>12232</v>
      </c>
      <c r="Z964" t="s">
        <v>74</v>
      </c>
      <c r="AA964" t="s">
        <v>12233</v>
      </c>
      <c r="AB964" t="s">
        <v>12234</v>
      </c>
      <c r="AC964" t="s">
        <v>74</v>
      </c>
      <c r="AD964" t="s">
        <v>74</v>
      </c>
      <c r="AE964" t="s">
        <v>74</v>
      </c>
      <c r="AF964" t="s">
        <v>74</v>
      </c>
      <c r="AG964">
        <v>16</v>
      </c>
      <c r="AH964">
        <v>52</v>
      </c>
      <c r="AI964">
        <v>53</v>
      </c>
      <c r="AJ964">
        <v>0</v>
      </c>
      <c r="AK964">
        <v>3</v>
      </c>
      <c r="AL964" t="s">
        <v>11915</v>
      </c>
      <c r="AM964" t="s">
        <v>2505</v>
      </c>
      <c r="AN964" t="s">
        <v>11916</v>
      </c>
      <c r="AO964" t="s">
        <v>11917</v>
      </c>
      <c r="AP964" t="s">
        <v>74</v>
      </c>
      <c r="AQ964" t="s">
        <v>11974</v>
      </c>
      <c r="AR964" t="s">
        <v>11919</v>
      </c>
      <c r="AS964" t="s">
        <v>74</v>
      </c>
      <c r="AT964" t="s">
        <v>74</v>
      </c>
      <c r="AU964">
        <v>1999</v>
      </c>
      <c r="AV964">
        <v>29</v>
      </c>
      <c r="AW964" t="s">
        <v>74</v>
      </c>
      <c r="AX964" t="s">
        <v>74</v>
      </c>
      <c r="AY964" t="s">
        <v>74</v>
      </c>
      <c r="AZ964" t="s">
        <v>74</v>
      </c>
      <c r="BA964" t="s">
        <v>74</v>
      </c>
      <c r="BB964">
        <v>163</v>
      </c>
      <c r="BC964">
        <v>168</v>
      </c>
      <c r="BD964" t="s">
        <v>74</v>
      </c>
      <c r="BE964" t="s">
        <v>12235</v>
      </c>
      <c r="BF964" t="str">
        <f>HYPERLINK("http://dx.doi.org/10.3189/172756499781821148","http://dx.doi.org/10.3189/172756499781821148")</f>
        <v>http://dx.doi.org/10.3189/172756499781821148</v>
      </c>
      <c r="BG964" t="s">
        <v>74</v>
      </c>
      <c r="BH964" t="s">
        <v>74</v>
      </c>
      <c r="BI964">
        <v>6</v>
      </c>
      <c r="BJ964" t="s">
        <v>11976</v>
      </c>
      <c r="BK964" t="s">
        <v>143</v>
      </c>
      <c r="BL964" t="s">
        <v>11977</v>
      </c>
      <c r="BM964" t="s">
        <v>11978</v>
      </c>
      <c r="BN964" t="s">
        <v>74</v>
      </c>
      <c r="BO964" t="s">
        <v>250</v>
      </c>
      <c r="BP964" t="s">
        <v>74</v>
      </c>
      <c r="BQ964" t="s">
        <v>74</v>
      </c>
      <c r="BR964" t="s">
        <v>99</v>
      </c>
      <c r="BS964" t="s">
        <v>12236</v>
      </c>
      <c r="BT964" t="str">
        <f>HYPERLINK("https%3A%2F%2Fwww.webofscience.com%2Fwos%2Fwoscc%2Ffull-record%2FWOS:000086691400029","View Full Record in Web of Science")</f>
        <v>View Full Record in Web of Science</v>
      </c>
    </row>
    <row r="965" spans="1:72" x14ac:dyDescent="0.15">
      <c r="A965" t="s">
        <v>1295</v>
      </c>
      <c r="B965" t="s">
        <v>12237</v>
      </c>
      <c r="C965" t="s">
        <v>74</v>
      </c>
      <c r="D965" t="s">
        <v>11960</v>
      </c>
      <c r="E965" t="s">
        <v>74</v>
      </c>
      <c r="F965" t="s">
        <v>12237</v>
      </c>
      <c r="G965" t="s">
        <v>74</v>
      </c>
      <c r="H965" t="s">
        <v>74</v>
      </c>
      <c r="I965" t="s">
        <v>12238</v>
      </c>
      <c r="J965" t="s">
        <v>11962</v>
      </c>
      <c r="K965" t="s">
        <v>11937</v>
      </c>
      <c r="L965" t="s">
        <v>74</v>
      </c>
      <c r="M965" t="s">
        <v>77</v>
      </c>
      <c r="N965" t="s">
        <v>123</v>
      </c>
      <c r="O965" t="s">
        <v>11963</v>
      </c>
      <c r="P965" t="s">
        <v>11964</v>
      </c>
      <c r="Q965" t="s">
        <v>11965</v>
      </c>
      <c r="R965" t="s">
        <v>74</v>
      </c>
      <c r="S965" t="s">
        <v>11966</v>
      </c>
      <c r="T965" t="s">
        <v>74</v>
      </c>
      <c r="U965" t="s">
        <v>12239</v>
      </c>
      <c r="V965" t="s">
        <v>12240</v>
      </c>
      <c r="W965" t="s">
        <v>12069</v>
      </c>
      <c r="X965" t="s">
        <v>2279</v>
      </c>
      <c r="Y965" t="s">
        <v>11742</v>
      </c>
      <c r="Z965" t="s">
        <v>74</v>
      </c>
      <c r="AA965" t="s">
        <v>74</v>
      </c>
      <c r="AB965" t="s">
        <v>74</v>
      </c>
      <c r="AC965" t="s">
        <v>74</v>
      </c>
      <c r="AD965" t="s">
        <v>74</v>
      </c>
      <c r="AE965" t="s">
        <v>74</v>
      </c>
      <c r="AF965" t="s">
        <v>74</v>
      </c>
      <c r="AG965">
        <v>34</v>
      </c>
      <c r="AH965">
        <v>5</v>
      </c>
      <c r="AI965">
        <v>5</v>
      </c>
      <c r="AJ965">
        <v>0</v>
      </c>
      <c r="AK965">
        <v>0</v>
      </c>
      <c r="AL965" t="s">
        <v>11915</v>
      </c>
      <c r="AM965" t="s">
        <v>2505</v>
      </c>
      <c r="AN965" t="s">
        <v>11945</v>
      </c>
      <c r="AO965" t="s">
        <v>11917</v>
      </c>
      <c r="AP965" t="s">
        <v>74</v>
      </c>
      <c r="AQ965" t="s">
        <v>11974</v>
      </c>
      <c r="AR965" t="s">
        <v>11946</v>
      </c>
      <c r="AS965" t="s">
        <v>74</v>
      </c>
      <c r="AT965" t="s">
        <v>74</v>
      </c>
      <c r="AU965">
        <v>1999</v>
      </c>
      <c r="AV965">
        <v>29</v>
      </c>
      <c r="AW965" t="s">
        <v>74</v>
      </c>
      <c r="AX965" t="s">
        <v>74</v>
      </c>
      <c r="AY965" t="s">
        <v>74</v>
      </c>
      <c r="AZ965" t="s">
        <v>74</v>
      </c>
      <c r="BA965" t="s">
        <v>74</v>
      </c>
      <c r="BB965">
        <v>169</v>
      </c>
      <c r="BC965">
        <v>175</v>
      </c>
      <c r="BD965" t="s">
        <v>74</v>
      </c>
      <c r="BE965" t="s">
        <v>12241</v>
      </c>
      <c r="BF965" t="str">
        <f>HYPERLINK("http://dx.doi.org/10.3189/172756499781821508","http://dx.doi.org/10.3189/172756499781821508")</f>
        <v>http://dx.doi.org/10.3189/172756499781821508</v>
      </c>
      <c r="BG965" t="s">
        <v>74</v>
      </c>
      <c r="BH965" t="s">
        <v>74</v>
      </c>
      <c r="BI965">
        <v>7</v>
      </c>
      <c r="BJ965" t="s">
        <v>11976</v>
      </c>
      <c r="BK965" t="s">
        <v>143</v>
      </c>
      <c r="BL965" t="s">
        <v>11977</v>
      </c>
      <c r="BM965" t="s">
        <v>11978</v>
      </c>
      <c r="BN965" t="s">
        <v>74</v>
      </c>
      <c r="BO965" t="s">
        <v>250</v>
      </c>
      <c r="BP965" t="s">
        <v>74</v>
      </c>
      <c r="BQ965" t="s">
        <v>74</v>
      </c>
      <c r="BR965" t="s">
        <v>99</v>
      </c>
      <c r="BS965" t="s">
        <v>12242</v>
      </c>
      <c r="BT965" t="str">
        <f>HYPERLINK("https%3A%2F%2Fwww.webofscience.com%2Fwos%2Fwoscc%2Ffull-record%2FWOS:000086691400030","View Full Record in Web of Science")</f>
        <v>View Full Record in Web of Science</v>
      </c>
    </row>
    <row r="966" spans="1:72" x14ac:dyDescent="0.15">
      <c r="A966" t="s">
        <v>1295</v>
      </c>
      <c r="B966" t="s">
        <v>12243</v>
      </c>
      <c r="C966" t="s">
        <v>74</v>
      </c>
      <c r="D966" t="s">
        <v>11960</v>
      </c>
      <c r="E966" t="s">
        <v>74</v>
      </c>
      <c r="F966" t="s">
        <v>12243</v>
      </c>
      <c r="G966" t="s">
        <v>74</v>
      </c>
      <c r="H966" t="s">
        <v>74</v>
      </c>
      <c r="I966" t="s">
        <v>12244</v>
      </c>
      <c r="J966" t="s">
        <v>11962</v>
      </c>
      <c r="K966" t="s">
        <v>11906</v>
      </c>
      <c r="L966" t="s">
        <v>74</v>
      </c>
      <c r="M966" t="s">
        <v>77</v>
      </c>
      <c r="N966" t="s">
        <v>123</v>
      </c>
      <c r="O966" t="s">
        <v>11963</v>
      </c>
      <c r="P966" t="s">
        <v>11964</v>
      </c>
      <c r="Q966" t="s">
        <v>11965</v>
      </c>
      <c r="R966" t="s">
        <v>74</v>
      </c>
      <c r="S966" t="s">
        <v>11966</v>
      </c>
      <c r="T966" t="s">
        <v>74</v>
      </c>
      <c r="U966" t="s">
        <v>74</v>
      </c>
      <c r="V966" t="s">
        <v>12245</v>
      </c>
      <c r="W966" t="s">
        <v>12246</v>
      </c>
      <c r="X966" t="s">
        <v>12247</v>
      </c>
      <c r="Y966" t="s">
        <v>12248</v>
      </c>
      <c r="Z966" t="s">
        <v>74</v>
      </c>
      <c r="AA966" t="s">
        <v>74</v>
      </c>
      <c r="AB966" t="s">
        <v>74</v>
      </c>
      <c r="AC966" t="s">
        <v>74</v>
      </c>
      <c r="AD966" t="s">
        <v>74</v>
      </c>
      <c r="AE966" t="s">
        <v>74</v>
      </c>
      <c r="AF966" t="s">
        <v>74</v>
      </c>
      <c r="AG966">
        <v>5</v>
      </c>
      <c r="AH966">
        <v>49</v>
      </c>
      <c r="AI966">
        <v>52</v>
      </c>
      <c r="AJ966">
        <v>1</v>
      </c>
      <c r="AK966">
        <v>10</v>
      </c>
      <c r="AL966" t="s">
        <v>11915</v>
      </c>
      <c r="AM966" t="s">
        <v>2505</v>
      </c>
      <c r="AN966" t="s">
        <v>11916</v>
      </c>
      <c r="AO966" t="s">
        <v>11917</v>
      </c>
      <c r="AP966" t="s">
        <v>74</v>
      </c>
      <c r="AQ966" t="s">
        <v>11974</v>
      </c>
      <c r="AR966" t="s">
        <v>11919</v>
      </c>
      <c r="AS966" t="s">
        <v>74</v>
      </c>
      <c r="AT966" t="s">
        <v>74</v>
      </c>
      <c r="AU966">
        <v>1999</v>
      </c>
      <c r="AV966">
        <v>29</v>
      </c>
      <c r="AW966" t="s">
        <v>74</v>
      </c>
      <c r="AX966" t="s">
        <v>74</v>
      </c>
      <c r="AY966" t="s">
        <v>74</v>
      </c>
      <c r="AZ966" t="s">
        <v>74</v>
      </c>
      <c r="BA966" t="s">
        <v>74</v>
      </c>
      <c r="BB966">
        <v>176</v>
      </c>
      <c r="BC966">
        <v>178</v>
      </c>
      <c r="BD966" t="s">
        <v>74</v>
      </c>
      <c r="BE966" t="s">
        <v>12249</v>
      </c>
      <c r="BF966" t="str">
        <f>HYPERLINK("http://dx.doi.org/10.3189/172756499781821553","http://dx.doi.org/10.3189/172756499781821553")</f>
        <v>http://dx.doi.org/10.3189/172756499781821553</v>
      </c>
      <c r="BG966" t="s">
        <v>74</v>
      </c>
      <c r="BH966" t="s">
        <v>74</v>
      </c>
      <c r="BI966">
        <v>3</v>
      </c>
      <c r="BJ966" t="s">
        <v>11976</v>
      </c>
      <c r="BK966" t="s">
        <v>143</v>
      </c>
      <c r="BL966" t="s">
        <v>11977</v>
      </c>
      <c r="BM966" t="s">
        <v>11978</v>
      </c>
      <c r="BN966" t="s">
        <v>74</v>
      </c>
      <c r="BO966" t="s">
        <v>250</v>
      </c>
      <c r="BP966" t="s">
        <v>74</v>
      </c>
      <c r="BQ966" t="s">
        <v>74</v>
      </c>
      <c r="BR966" t="s">
        <v>99</v>
      </c>
      <c r="BS966" t="s">
        <v>12250</v>
      </c>
      <c r="BT966" t="str">
        <f>HYPERLINK("https%3A%2F%2Fwww.webofscience.com%2Fwos%2Fwoscc%2Ffull-record%2FWOS:000086691400031","View Full Record in Web of Science")</f>
        <v>View Full Record in Web of Science</v>
      </c>
    </row>
    <row r="967" spans="1:72" x14ac:dyDescent="0.15">
      <c r="A967" t="s">
        <v>1295</v>
      </c>
      <c r="B967" t="s">
        <v>12251</v>
      </c>
      <c r="C967" t="s">
        <v>74</v>
      </c>
      <c r="D967" t="s">
        <v>11960</v>
      </c>
      <c r="E967" t="s">
        <v>74</v>
      </c>
      <c r="F967" t="s">
        <v>12251</v>
      </c>
      <c r="G967" t="s">
        <v>74</v>
      </c>
      <c r="H967" t="s">
        <v>74</v>
      </c>
      <c r="I967" t="s">
        <v>12252</v>
      </c>
      <c r="J967" t="s">
        <v>11962</v>
      </c>
      <c r="K967" t="s">
        <v>11906</v>
      </c>
      <c r="L967" t="s">
        <v>74</v>
      </c>
      <c r="M967" t="s">
        <v>77</v>
      </c>
      <c r="N967" t="s">
        <v>123</v>
      </c>
      <c r="O967" t="s">
        <v>11963</v>
      </c>
      <c r="P967" t="s">
        <v>11964</v>
      </c>
      <c r="Q967" t="s">
        <v>11965</v>
      </c>
      <c r="R967" t="s">
        <v>74</v>
      </c>
      <c r="S967" t="s">
        <v>11966</v>
      </c>
      <c r="T967" t="s">
        <v>74</v>
      </c>
      <c r="U967" t="s">
        <v>12253</v>
      </c>
      <c r="V967" t="s">
        <v>12254</v>
      </c>
      <c r="W967" t="s">
        <v>12255</v>
      </c>
      <c r="X967" t="s">
        <v>12256</v>
      </c>
      <c r="Y967" t="s">
        <v>12257</v>
      </c>
      <c r="Z967" t="s">
        <v>74</v>
      </c>
      <c r="AA967" t="s">
        <v>12258</v>
      </c>
      <c r="AB967" t="s">
        <v>12259</v>
      </c>
      <c r="AC967" t="s">
        <v>74</v>
      </c>
      <c r="AD967" t="s">
        <v>74</v>
      </c>
      <c r="AE967" t="s">
        <v>74</v>
      </c>
      <c r="AF967" t="s">
        <v>74</v>
      </c>
      <c r="AG967">
        <v>19</v>
      </c>
      <c r="AH967">
        <v>10</v>
      </c>
      <c r="AI967">
        <v>10</v>
      </c>
      <c r="AJ967">
        <v>0</v>
      </c>
      <c r="AK967">
        <v>3</v>
      </c>
      <c r="AL967" t="s">
        <v>11915</v>
      </c>
      <c r="AM967" t="s">
        <v>2505</v>
      </c>
      <c r="AN967" t="s">
        <v>11916</v>
      </c>
      <c r="AO967" t="s">
        <v>11917</v>
      </c>
      <c r="AP967" t="s">
        <v>74</v>
      </c>
      <c r="AQ967" t="s">
        <v>11974</v>
      </c>
      <c r="AR967" t="s">
        <v>11919</v>
      </c>
      <c r="AS967" t="s">
        <v>74</v>
      </c>
      <c r="AT967" t="s">
        <v>74</v>
      </c>
      <c r="AU967">
        <v>1999</v>
      </c>
      <c r="AV967">
        <v>29</v>
      </c>
      <c r="AW967" t="s">
        <v>74</v>
      </c>
      <c r="AX967" t="s">
        <v>74</v>
      </c>
      <c r="AY967" t="s">
        <v>74</v>
      </c>
      <c r="AZ967" t="s">
        <v>74</v>
      </c>
      <c r="BA967" t="s">
        <v>74</v>
      </c>
      <c r="BB967">
        <v>179</v>
      </c>
      <c r="BC967">
        <v>183</v>
      </c>
      <c r="BD967" t="s">
        <v>74</v>
      </c>
      <c r="BE967" t="s">
        <v>12260</v>
      </c>
      <c r="BF967" t="str">
        <f>HYPERLINK("http://dx.doi.org/10.3189/172756499781820950","http://dx.doi.org/10.3189/172756499781820950")</f>
        <v>http://dx.doi.org/10.3189/172756499781820950</v>
      </c>
      <c r="BG967" t="s">
        <v>74</v>
      </c>
      <c r="BH967" t="s">
        <v>74</v>
      </c>
      <c r="BI967">
        <v>5</v>
      </c>
      <c r="BJ967" t="s">
        <v>11976</v>
      </c>
      <c r="BK967" t="s">
        <v>143</v>
      </c>
      <c r="BL967" t="s">
        <v>11977</v>
      </c>
      <c r="BM967" t="s">
        <v>11978</v>
      </c>
      <c r="BN967" t="s">
        <v>74</v>
      </c>
      <c r="BO967" t="s">
        <v>250</v>
      </c>
      <c r="BP967" t="s">
        <v>74</v>
      </c>
      <c r="BQ967" t="s">
        <v>74</v>
      </c>
      <c r="BR967" t="s">
        <v>99</v>
      </c>
      <c r="BS967" t="s">
        <v>12261</v>
      </c>
      <c r="BT967" t="str">
        <f>HYPERLINK("https%3A%2F%2Fwww.webofscience.com%2Fwos%2Fwoscc%2Ffull-record%2FWOS:000086691400032","View Full Record in Web of Science")</f>
        <v>View Full Record in Web of Science</v>
      </c>
    </row>
    <row r="968" spans="1:72" x14ac:dyDescent="0.15">
      <c r="A968" t="s">
        <v>1295</v>
      </c>
      <c r="B968" t="s">
        <v>12262</v>
      </c>
      <c r="C968" t="s">
        <v>74</v>
      </c>
      <c r="D968" t="s">
        <v>11960</v>
      </c>
      <c r="E968" t="s">
        <v>74</v>
      </c>
      <c r="F968" t="s">
        <v>12262</v>
      </c>
      <c r="G968" t="s">
        <v>74</v>
      </c>
      <c r="H968" t="s">
        <v>74</v>
      </c>
      <c r="I968" t="s">
        <v>12263</v>
      </c>
      <c r="J968" t="s">
        <v>11962</v>
      </c>
      <c r="K968" t="s">
        <v>11906</v>
      </c>
      <c r="L968" t="s">
        <v>74</v>
      </c>
      <c r="M968" t="s">
        <v>77</v>
      </c>
      <c r="N968" t="s">
        <v>123</v>
      </c>
      <c r="O968" t="s">
        <v>11963</v>
      </c>
      <c r="P968" t="s">
        <v>11964</v>
      </c>
      <c r="Q968" t="s">
        <v>11965</v>
      </c>
      <c r="R968" t="s">
        <v>74</v>
      </c>
      <c r="S968" t="s">
        <v>11966</v>
      </c>
      <c r="T968" t="s">
        <v>74</v>
      </c>
      <c r="U968" t="s">
        <v>12264</v>
      </c>
      <c r="V968" t="s">
        <v>12265</v>
      </c>
      <c r="W968" t="s">
        <v>11741</v>
      </c>
      <c r="X968" t="s">
        <v>74</v>
      </c>
      <c r="Y968" t="s">
        <v>12266</v>
      </c>
      <c r="Z968" t="s">
        <v>74</v>
      </c>
      <c r="AA968" t="s">
        <v>11743</v>
      </c>
      <c r="AB968" t="s">
        <v>11744</v>
      </c>
      <c r="AC968" t="s">
        <v>74</v>
      </c>
      <c r="AD968" t="s">
        <v>74</v>
      </c>
      <c r="AE968" t="s">
        <v>74</v>
      </c>
      <c r="AF968" t="s">
        <v>74</v>
      </c>
      <c r="AG968">
        <v>27</v>
      </c>
      <c r="AH968">
        <v>19</v>
      </c>
      <c r="AI968">
        <v>20</v>
      </c>
      <c r="AJ968">
        <v>0</v>
      </c>
      <c r="AK968">
        <v>0</v>
      </c>
      <c r="AL968" t="s">
        <v>11915</v>
      </c>
      <c r="AM968" t="s">
        <v>2505</v>
      </c>
      <c r="AN968" t="s">
        <v>11916</v>
      </c>
      <c r="AO968" t="s">
        <v>11917</v>
      </c>
      <c r="AP968" t="s">
        <v>74</v>
      </c>
      <c r="AQ968" t="s">
        <v>11974</v>
      </c>
      <c r="AR968" t="s">
        <v>11919</v>
      </c>
      <c r="AS968" t="s">
        <v>74</v>
      </c>
      <c r="AT968" t="s">
        <v>74</v>
      </c>
      <c r="AU968">
        <v>1999</v>
      </c>
      <c r="AV968">
        <v>29</v>
      </c>
      <c r="AW968" t="s">
        <v>74</v>
      </c>
      <c r="AX968" t="s">
        <v>74</v>
      </c>
      <c r="AY968" t="s">
        <v>74</v>
      </c>
      <c r="AZ968" t="s">
        <v>74</v>
      </c>
      <c r="BA968" t="s">
        <v>74</v>
      </c>
      <c r="BB968">
        <v>184</v>
      </c>
      <c r="BC968">
        <v>190</v>
      </c>
      <c r="BD968" t="s">
        <v>74</v>
      </c>
      <c r="BE968" t="s">
        <v>12267</v>
      </c>
      <c r="BF968" t="str">
        <f>HYPERLINK("http://dx.doi.org/10.3189/172756499781820932","http://dx.doi.org/10.3189/172756499781820932")</f>
        <v>http://dx.doi.org/10.3189/172756499781820932</v>
      </c>
      <c r="BG968" t="s">
        <v>74</v>
      </c>
      <c r="BH968" t="s">
        <v>74</v>
      </c>
      <c r="BI968">
        <v>7</v>
      </c>
      <c r="BJ968" t="s">
        <v>11976</v>
      </c>
      <c r="BK968" t="s">
        <v>143</v>
      </c>
      <c r="BL968" t="s">
        <v>11977</v>
      </c>
      <c r="BM968" t="s">
        <v>11978</v>
      </c>
      <c r="BN968" t="s">
        <v>74</v>
      </c>
      <c r="BO968" t="s">
        <v>250</v>
      </c>
      <c r="BP968" t="s">
        <v>74</v>
      </c>
      <c r="BQ968" t="s">
        <v>74</v>
      </c>
      <c r="BR968" t="s">
        <v>99</v>
      </c>
      <c r="BS968" t="s">
        <v>12268</v>
      </c>
      <c r="BT968" t="str">
        <f>HYPERLINK("https%3A%2F%2Fwww.webofscience.com%2Fwos%2Fwoscc%2Ffull-record%2FWOS:000086691400033","View Full Record in Web of Science")</f>
        <v>View Full Record in Web of Science</v>
      </c>
    </row>
    <row r="969" spans="1:72" x14ac:dyDescent="0.15">
      <c r="A969" t="s">
        <v>1295</v>
      </c>
      <c r="B969" t="s">
        <v>12269</v>
      </c>
      <c r="C969" t="s">
        <v>74</v>
      </c>
      <c r="D969" t="s">
        <v>11960</v>
      </c>
      <c r="E969" t="s">
        <v>74</v>
      </c>
      <c r="F969" t="s">
        <v>12269</v>
      </c>
      <c r="G969" t="s">
        <v>74</v>
      </c>
      <c r="H969" t="s">
        <v>74</v>
      </c>
      <c r="I969" t="s">
        <v>12270</v>
      </c>
      <c r="J969" t="s">
        <v>11962</v>
      </c>
      <c r="K969" t="s">
        <v>11906</v>
      </c>
      <c r="L969" t="s">
        <v>74</v>
      </c>
      <c r="M969" t="s">
        <v>77</v>
      </c>
      <c r="N969" t="s">
        <v>123</v>
      </c>
      <c r="O969" t="s">
        <v>11963</v>
      </c>
      <c r="P969" t="s">
        <v>11964</v>
      </c>
      <c r="Q969" t="s">
        <v>11965</v>
      </c>
      <c r="R969" t="s">
        <v>74</v>
      </c>
      <c r="S969" t="s">
        <v>11966</v>
      </c>
      <c r="T969" t="s">
        <v>74</v>
      </c>
      <c r="U969" t="s">
        <v>12271</v>
      </c>
      <c r="V969" t="s">
        <v>12272</v>
      </c>
      <c r="W969" t="s">
        <v>12273</v>
      </c>
      <c r="X969" t="s">
        <v>12274</v>
      </c>
      <c r="Y969" t="s">
        <v>12275</v>
      </c>
      <c r="Z969" t="s">
        <v>74</v>
      </c>
      <c r="AA969" t="s">
        <v>12276</v>
      </c>
      <c r="AB969" t="s">
        <v>12277</v>
      </c>
      <c r="AC969" t="s">
        <v>74</v>
      </c>
      <c r="AD969" t="s">
        <v>74</v>
      </c>
      <c r="AE969" t="s">
        <v>74</v>
      </c>
      <c r="AF969" t="s">
        <v>74</v>
      </c>
      <c r="AG969">
        <v>34</v>
      </c>
      <c r="AH969">
        <v>11</v>
      </c>
      <c r="AI969">
        <v>11</v>
      </c>
      <c r="AJ969">
        <v>0</v>
      </c>
      <c r="AK969">
        <v>7</v>
      </c>
      <c r="AL969" t="s">
        <v>11915</v>
      </c>
      <c r="AM969" t="s">
        <v>2505</v>
      </c>
      <c r="AN969" t="s">
        <v>11916</v>
      </c>
      <c r="AO969" t="s">
        <v>11917</v>
      </c>
      <c r="AP969" t="s">
        <v>74</v>
      </c>
      <c r="AQ969" t="s">
        <v>11974</v>
      </c>
      <c r="AR969" t="s">
        <v>11919</v>
      </c>
      <c r="AS969" t="s">
        <v>74</v>
      </c>
      <c r="AT969" t="s">
        <v>74</v>
      </c>
      <c r="AU969">
        <v>1999</v>
      </c>
      <c r="AV969">
        <v>29</v>
      </c>
      <c r="AW969" t="s">
        <v>74</v>
      </c>
      <c r="AX969" t="s">
        <v>74</v>
      </c>
      <c r="AY969" t="s">
        <v>74</v>
      </c>
      <c r="AZ969" t="s">
        <v>74</v>
      </c>
      <c r="BA969" t="s">
        <v>74</v>
      </c>
      <c r="BB969">
        <v>191</v>
      </c>
      <c r="BC969">
        <v>201</v>
      </c>
      <c r="BD969" t="s">
        <v>74</v>
      </c>
      <c r="BE969" t="s">
        <v>12278</v>
      </c>
      <c r="BF969" t="str">
        <f>HYPERLINK("http://dx.doi.org/10.3189/172756499781821571","http://dx.doi.org/10.3189/172756499781821571")</f>
        <v>http://dx.doi.org/10.3189/172756499781821571</v>
      </c>
      <c r="BG969" t="s">
        <v>74</v>
      </c>
      <c r="BH969" t="s">
        <v>74</v>
      </c>
      <c r="BI969">
        <v>11</v>
      </c>
      <c r="BJ969" t="s">
        <v>11976</v>
      </c>
      <c r="BK969" t="s">
        <v>143</v>
      </c>
      <c r="BL969" t="s">
        <v>11977</v>
      </c>
      <c r="BM969" t="s">
        <v>11978</v>
      </c>
      <c r="BN969" t="s">
        <v>74</v>
      </c>
      <c r="BO969" t="s">
        <v>250</v>
      </c>
      <c r="BP969" t="s">
        <v>74</v>
      </c>
      <c r="BQ969" t="s">
        <v>74</v>
      </c>
      <c r="BR969" t="s">
        <v>99</v>
      </c>
      <c r="BS969" t="s">
        <v>12279</v>
      </c>
      <c r="BT969" t="str">
        <f>HYPERLINK("https%3A%2F%2Fwww.webofscience.com%2Fwos%2Fwoscc%2Ffull-record%2FWOS:000086691400034","View Full Record in Web of Science")</f>
        <v>View Full Record in Web of Science</v>
      </c>
    </row>
    <row r="970" spans="1:72" x14ac:dyDescent="0.15">
      <c r="A970" t="s">
        <v>1295</v>
      </c>
      <c r="B970" t="s">
        <v>12280</v>
      </c>
      <c r="C970" t="s">
        <v>74</v>
      </c>
      <c r="D970" t="s">
        <v>11960</v>
      </c>
      <c r="E970" t="s">
        <v>74</v>
      </c>
      <c r="F970" t="s">
        <v>12280</v>
      </c>
      <c r="G970" t="s">
        <v>74</v>
      </c>
      <c r="H970" t="s">
        <v>74</v>
      </c>
      <c r="I970" t="s">
        <v>12281</v>
      </c>
      <c r="J970" t="s">
        <v>11962</v>
      </c>
      <c r="K970" t="s">
        <v>11937</v>
      </c>
      <c r="L970" t="s">
        <v>74</v>
      </c>
      <c r="M970" t="s">
        <v>77</v>
      </c>
      <c r="N970" t="s">
        <v>123</v>
      </c>
      <c r="O970" t="s">
        <v>11963</v>
      </c>
      <c r="P970" t="s">
        <v>11964</v>
      </c>
      <c r="Q970" t="s">
        <v>11965</v>
      </c>
      <c r="R970" t="s">
        <v>74</v>
      </c>
      <c r="S970" t="s">
        <v>11966</v>
      </c>
      <c r="T970" t="s">
        <v>74</v>
      </c>
      <c r="U970" t="s">
        <v>74</v>
      </c>
      <c r="V970" t="s">
        <v>12282</v>
      </c>
      <c r="W970" t="s">
        <v>12283</v>
      </c>
      <c r="X970" t="s">
        <v>12284</v>
      </c>
      <c r="Y970" t="s">
        <v>12285</v>
      </c>
      <c r="Z970" t="s">
        <v>74</v>
      </c>
      <c r="AA970" t="s">
        <v>12286</v>
      </c>
      <c r="AB970" t="s">
        <v>12287</v>
      </c>
      <c r="AC970" t="s">
        <v>74</v>
      </c>
      <c r="AD970" t="s">
        <v>74</v>
      </c>
      <c r="AE970" t="s">
        <v>74</v>
      </c>
      <c r="AF970" t="s">
        <v>74</v>
      </c>
      <c r="AG970">
        <v>11</v>
      </c>
      <c r="AH970">
        <v>12</v>
      </c>
      <c r="AI970">
        <v>14</v>
      </c>
      <c r="AJ970">
        <v>0</v>
      </c>
      <c r="AK970">
        <v>2</v>
      </c>
      <c r="AL970" t="s">
        <v>11915</v>
      </c>
      <c r="AM970" t="s">
        <v>2505</v>
      </c>
      <c r="AN970" t="s">
        <v>11945</v>
      </c>
      <c r="AO970" t="s">
        <v>11917</v>
      </c>
      <c r="AP970" t="s">
        <v>74</v>
      </c>
      <c r="AQ970" t="s">
        <v>11974</v>
      </c>
      <c r="AR970" t="s">
        <v>11946</v>
      </c>
      <c r="AS970" t="s">
        <v>74</v>
      </c>
      <c r="AT970" t="s">
        <v>74</v>
      </c>
      <c r="AU970">
        <v>1999</v>
      </c>
      <c r="AV970">
        <v>29</v>
      </c>
      <c r="AW970" t="s">
        <v>74</v>
      </c>
      <c r="AX970" t="s">
        <v>74</v>
      </c>
      <c r="AY970" t="s">
        <v>74</v>
      </c>
      <c r="AZ970" t="s">
        <v>74</v>
      </c>
      <c r="BA970" t="s">
        <v>74</v>
      </c>
      <c r="BB970">
        <v>202</v>
      </c>
      <c r="BC970">
        <v>206</v>
      </c>
      <c r="BD970" t="s">
        <v>74</v>
      </c>
      <c r="BE970" t="s">
        <v>12288</v>
      </c>
      <c r="BF970" t="str">
        <f>HYPERLINK("http://dx.doi.org/10.3189/172756499781820941","http://dx.doi.org/10.3189/172756499781820941")</f>
        <v>http://dx.doi.org/10.3189/172756499781820941</v>
      </c>
      <c r="BG970" t="s">
        <v>74</v>
      </c>
      <c r="BH970" t="s">
        <v>74</v>
      </c>
      <c r="BI970">
        <v>5</v>
      </c>
      <c r="BJ970" t="s">
        <v>11976</v>
      </c>
      <c r="BK970" t="s">
        <v>143</v>
      </c>
      <c r="BL970" t="s">
        <v>11977</v>
      </c>
      <c r="BM970" t="s">
        <v>11978</v>
      </c>
      <c r="BN970" t="s">
        <v>74</v>
      </c>
      <c r="BO970" t="s">
        <v>250</v>
      </c>
      <c r="BP970" t="s">
        <v>74</v>
      </c>
      <c r="BQ970" t="s">
        <v>74</v>
      </c>
      <c r="BR970" t="s">
        <v>99</v>
      </c>
      <c r="BS970" t="s">
        <v>12289</v>
      </c>
      <c r="BT970" t="str">
        <f>HYPERLINK("https%3A%2F%2Fwww.webofscience.com%2Fwos%2Fwoscc%2Ffull-record%2FWOS:000086691400035","View Full Record in Web of Science")</f>
        <v>View Full Record in Web of Science</v>
      </c>
    </row>
    <row r="971" spans="1:72" x14ac:dyDescent="0.15">
      <c r="A971" t="s">
        <v>1295</v>
      </c>
      <c r="B971" t="s">
        <v>12290</v>
      </c>
      <c r="C971" t="s">
        <v>74</v>
      </c>
      <c r="D971" t="s">
        <v>11960</v>
      </c>
      <c r="E971" t="s">
        <v>74</v>
      </c>
      <c r="F971" t="s">
        <v>12290</v>
      </c>
      <c r="G971" t="s">
        <v>74</v>
      </c>
      <c r="H971" t="s">
        <v>74</v>
      </c>
      <c r="I971" t="s">
        <v>12291</v>
      </c>
      <c r="J971" t="s">
        <v>11962</v>
      </c>
      <c r="K971" t="s">
        <v>11906</v>
      </c>
      <c r="L971" t="s">
        <v>74</v>
      </c>
      <c r="M971" t="s">
        <v>77</v>
      </c>
      <c r="N971" t="s">
        <v>123</v>
      </c>
      <c r="O971" t="s">
        <v>11963</v>
      </c>
      <c r="P971" t="s">
        <v>11964</v>
      </c>
      <c r="Q971" t="s">
        <v>11965</v>
      </c>
      <c r="R971" t="s">
        <v>74</v>
      </c>
      <c r="S971" t="s">
        <v>11966</v>
      </c>
      <c r="T971" t="s">
        <v>74</v>
      </c>
      <c r="U971" t="s">
        <v>12292</v>
      </c>
      <c r="V971" t="s">
        <v>12293</v>
      </c>
      <c r="W971" t="s">
        <v>12294</v>
      </c>
      <c r="X971" t="s">
        <v>12295</v>
      </c>
      <c r="Y971" t="s">
        <v>12296</v>
      </c>
      <c r="Z971" t="s">
        <v>74</v>
      </c>
      <c r="AA971" t="s">
        <v>12297</v>
      </c>
      <c r="AB971" t="s">
        <v>12298</v>
      </c>
      <c r="AC971" t="s">
        <v>74</v>
      </c>
      <c r="AD971" t="s">
        <v>74</v>
      </c>
      <c r="AE971" t="s">
        <v>74</v>
      </c>
      <c r="AF971" t="s">
        <v>74</v>
      </c>
      <c r="AG971">
        <v>12</v>
      </c>
      <c r="AH971">
        <v>14</v>
      </c>
      <c r="AI971">
        <v>14</v>
      </c>
      <c r="AJ971">
        <v>0</v>
      </c>
      <c r="AK971">
        <v>4</v>
      </c>
      <c r="AL971" t="s">
        <v>11915</v>
      </c>
      <c r="AM971" t="s">
        <v>2505</v>
      </c>
      <c r="AN971" t="s">
        <v>11916</v>
      </c>
      <c r="AO971" t="s">
        <v>11917</v>
      </c>
      <c r="AP971" t="s">
        <v>74</v>
      </c>
      <c r="AQ971" t="s">
        <v>11974</v>
      </c>
      <c r="AR971" t="s">
        <v>11919</v>
      </c>
      <c r="AS971" t="s">
        <v>74</v>
      </c>
      <c r="AT971" t="s">
        <v>74</v>
      </c>
      <c r="AU971">
        <v>1999</v>
      </c>
      <c r="AV971">
        <v>29</v>
      </c>
      <c r="AW971" t="s">
        <v>74</v>
      </c>
      <c r="AX971" t="s">
        <v>74</v>
      </c>
      <c r="AY971" t="s">
        <v>74</v>
      </c>
      <c r="AZ971" t="s">
        <v>74</v>
      </c>
      <c r="BA971" t="s">
        <v>74</v>
      </c>
      <c r="BB971">
        <v>207</v>
      </c>
      <c r="BC971">
        <v>210</v>
      </c>
      <c r="BD971" t="s">
        <v>74</v>
      </c>
      <c r="BE971" t="s">
        <v>12299</v>
      </c>
      <c r="BF971" t="str">
        <f>HYPERLINK("http://dx.doi.org/10.3189/172756499781821300","http://dx.doi.org/10.3189/172756499781821300")</f>
        <v>http://dx.doi.org/10.3189/172756499781821300</v>
      </c>
      <c r="BG971" t="s">
        <v>74</v>
      </c>
      <c r="BH971" t="s">
        <v>74</v>
      </c>
      <c r="BI971">
        <v>4</v>
      </c>
      <c r="BJ971" t="s">
        <v>11976</v>
      </c>
      <c r="BK971" t="s">
        <v>143</v>
      </c>
      <c r="BL971" t="s">
        <v>11977</v>
      </c>
      <c r="BM971" t="s">
        <v>11978</v>
      </c>
      <c r="BN971" t="s">
        <v>74</v>
      </c>
      <c r="BO971" t="s">
        <v>250</v>
      </c>
      <c r="BP971" t="s">
        <v>74</v>
      </c>
      <c r="BQ971" t="s">
        <v>74</v>
      </c>
      <c r="BR971" t="s">
        <v>99</v>
      </c>
      <c r="BS971" t="s">
        <v>12300</v>
      </c>
      <c r="BT971" t="str">
        <f>HYPERLINK("https%3A%2F%2Fwww.webofscience.com%2Fwos%2Fwoscc%2Ffull-record%2FWOS:000086691400036","View Full Record in Web of Science")</f>
        <v>View Full Record in Web of Science</v>
      </c>
    </row>
    <row r="972" spans="1:72" x14ac:dyDescent="0.15">
      <c r="A972" t="s">
        <v>1295</v>
      </c>
      <c r="B972" t="s">
        <v>12301</v>
      </c>
      <c r="C972" t="s">
        <v>74</v>
      </c>
      <c r="D972" t="s">
        <v>11960</v>
      </c>
      <c r="E972" t="s">
        <v>74</v>
      </c>
      <c r="F972" t="s">
        <v>12301</v>
      </c>
      <c r="G972" t="s">
        <v>74</v>
      </c>
      <c r="H972" t="s">
        <v>74</v>
      </c>
      <c r="I972" t="s">
        <v>12302</v>
      </c>
      <c r="J972" t="s">
        <v>11962</v>
      </c>
      <c r="K972" t="s">
        <v>11906</v>
      </c>
      <c r="L972" t="s">
        <v>74</v>
      </c>
      <c r="M972" t="s">
        <v>77</v>
      </c>
      <c r="N972" t="s">
        <v>123</v>
      </c>
      <c r="O972" t="s">
        <v>11963</v>
      </c>
      <c r="P972" t="s">
        <v>11964</v>
      </c>
      <c r="Q972" t="s">
        <v>11965</v>
      </c>
      <c r="R972" t="s">
        <v>74</v>
      </c>
      <c r="S972" t="s">
        <v>11966</v>
      </c>
      <c r="T972" t="s">
        <v>74</v>
      </c>
      <c r="U972" t="s">
        <v>12303</v>
      </c>
      <c r="V972" t="s">
        <v>12304</v>
      </c>
      <c r="W972" t="s">
        <v>12305</v>
      </c>
      <c r="X972" t="s">
        <v>12306</v>
      </c>
      <c r="Y972" t="s">
        <v>12307</v>
      </c>
      <c r="Z972" t="s">
        <v>74</v>
      </c>
      <c r="AA972" t="s">
        <v>12308</v>
      </c>
      <c r="AB972" t="s">
        <v>12309</v>
      </c>
      <c r="AC972" t="s">
        <v>74</v>
      </c>
      <c r="AD972" t="s">
        <v>74</v>
      </c>
      <c r="AE972" t="s">
        <v>74</v>
      </c>
      <c r="AF972" t="s">
        <v>74</v>
      </c>
      <c r="AG972">
        <v>10</v>
      </c>
      <c r="AH972">
        <v>16</v>
      </c>
      <c r="AI972">
        <v>19</v>
      </c>
      <c r="AJ972">
        <v>0</v>
      </c>
      <c r="AK972">
        <v>2</v>
      </c>
      <c r="AL972" t="s">
        <v>11915</v>
      </c>
      <c r="AM972" t="s">
        <v>2505</v>
      </c>
      <c r="AN972" t="s">
        <v>11916</v>
      </c>
      <c r="AO972" t="s">
        <v>11917</v>
      </c>
      <c r="AP972" t="s">
        <v>74</v>
      </c>
      <c r="AQ972" t="s">
        <v>11974</v>
      </c>
      <c r="AR972" t="s">
        <v>11919</v>
      </c>
      <c r="AS972" t="s">
        <v>74</v>
      </c>
      <c r="AT972" t="s">
        <v>74</v>
      </c>
      <c r="AU972">
        <v>1999</v>
      </c>
      <c r="AV972">
        <v>29</v>
      </c>
      <c r="AW972" t="s">
        <v>74</v>
      </c>
      <c r="AX972" t="s">
        <v>74</v>
      </c>
      <c r="AY972" t="s">
        <v>74</v>
      </c>
      <c r="AZ972" t="s">
        <v>74</v>
      </c>
      <c r="BA972" t="s">
        <v>74</v>
      </c>
      <c r="BB972">
        <v>211</v>
      </c>
      <c r="BC972">
        <v>214</v>
      </c>
      <c r="BD972" t="s">
        <v>74</v>
      </c>
      <c r="BE972" t="s">
        <v>12310</v>
      </c>
      <c r="BF972" t="str">
        <f>HYPERLINK("http://dx.doi.org/10.3189/172756499781821157","http://dx.doi.org/10.3189/172756499781821157")</f>
        <v>http://dx.doi.org/10.3189/172756499781821157</v>
      </c>
      <c r="BG972" t="s">
        <v>74</v>
      </c>
      <c r="BH972" t="s">
        <v>74</v>
      </c>
      <c r="BI972">
        <v>4</v>
      </c>
      <c r="BJ972" t="s">
        <v>11976</v>
      </c>
      <c r="BK972" t="s">
        <v>143</v>
      </c>
      <c r="BL972" t="s">
        <v>11977</v>
      </c>
      <c r="BM972" t="s">
        <v>11978</v>
      </c>
      <c r="BN972" t="s">
        <v>74</v>
      </c>
      <c r="BO972" t="s">
        <v>250</v>
      </c>
      <c r="BP972" t="s">
        <v>74</v>
      </c>
      <c r="BQ972" t="s">
        <v>74</v>
      </c>
      <c r="BR972" t="s">
        <v>99</v>
      </c>
      <c r="BS972" t="s">
        <v>12311</v>
      </c>
      <c r="BT972" t="str">
        <f>HYPERLINK("https%3A%2F%2Fwww.webofscience.com%2Fwos%2Fwoscc%2Ffull-record%2FWOS:000086691400037","View Full Record in Web of Science")</f>
        <v>View Full Record in Web of Science</v>
      </c>
    </row>
    <row r="973" spans="1:72" x14ac:dyDescent="0.15">
      <c r="A973" t="s">
        <v>1295</v>
      </c>
      <c r="B973" t="s">
        <v>12312</v>
      </c>
      <c r="C973" t="s">
        <v>74</v>
      </c>
      <c r="D973" t="s">
        <v>11960</v>
      </c>
      <c r="E973" t="s">
        <v>74</v>
      </c>
      <c r="F973" t="s">
        <v>12312</v>
      </c>
      <c r="G973" t="s">
        <v>74</v>
      </c>
      <c r="H973" t="s">
        <v>74</v>
      </c>
      <c r="I973" t="s">
        <v>12313</v>
      </c>
      <c r="J973" t="s">
        <v>11962</v>
      </c>
      <c r="K973" t="s">
        <v>11937</v>
      </c>
      <c r="L973" t="s">
        <v>74</v>
      </c>
      <c r="M973" t="s">
        <v>77</v>
      </c>
      <c r="N973" t="s">
        <v>123</v>
      </c>
      <c r="O973" t="s">
        <v>11963</v>
      </c>
      <c r="P973" t="s">
        <v>11964</v>
      </c>
      <c r="Q973" t="s">
        <v>11965</v>
      </c>
      <c r="R973" t="s">
        <v>74</v>
      </c>
      <c r="S973" t="s">
        <v>11966</v>
      </c>
      <c r="T973" t="s">
        <v>74</v>
      </c>
      <c r="U973" t="s">
        <v>74</v>
      </c>
      <c r="V973" t="s">
        <v>12314</v>
      </c>
      <c r="W973" t="s">
        <v>12315</v>
      </c>
      <c r="X973" t="s">
        <v>1973</v>
      </c>
      <c r="Y973" t="s">
        <v>12316</v>
      </c>
      <c r="Z973" t="s">
        <v>74</v>
      </c>
      <c r="AA973" t="s">
        <v>12317</v>
      </c>
      <c r="AB973" t="s">
        <v>12318</v>
      </c>
      <c r="AC973" t="s">
        <v>74</v>
      </c>
      <c r="AD973" t="s">
        <v>74</v>
      </c>
      <c r="AE973" t="s">
        <v>74</v>
      </c>
      <c r="AF973" t="s">
        <v>74</v>
      </c>
      <c r="AG973">
        <v>21</v>
      </c>
      <c r="AH973">
        <v>42</v>
      </c>
      <c r="AI973">
        <v>44</v>
      </c>
      <c r="AJ973">
        <v>0</v>
      </c>
      <c r="AK973">
        <v>6</v>
      </c>
      <c r="AL973" t="s">
        <v>11915</v>
      </c>
      <c r="AM973" t="s">
        <v>2505</v>
      </c>
      <c r="AN973" t="s">
        <v>11945</v>
      </c>
      <c r="AO973" t="s">
        <v>11917</v>
      </c>
      <c r="AP973" t="s">
        <v>74</v>
      </c>
      <c r="AQ973" t="s">
        <v>11974</v>
      </c>
      <c r="AR973" t="s">
        <v>11946</v>
      </c>
      <c r="AS973" t="s">
        <v>74</v>
      </c>
      <c r="AT973" t="s">
        <v>74</v>
      </c>
      <c r="AU973">
        <v>1999</v>
      </c>
      <c r="AV973">
        <v>29</v>
      </c>
      <c r="AW973" t="s">
        <v>74</v>
      </c>
      <c r="AX973" t="s">
        <v>74</v>
      </c>
      <c r="AY973" t="s">
        <v>74</v>
      </c>
      <c r="AZ973" t="s">
        <v>74</v>
      </c>
      <c r="BA973" t="s">
        <v>74</v>
      </c>
      <c r="BB973">
        <v>215</v>
      </c>
      <c r="BC973">
        <v>219</v>
      </c>
      <c r="BD973" t="s">
        <v>74</v>
      </c>
      <c r="BE973" t="s">
        <v>12319</v>
      </c>
      <c r="BF973" t="str">
        <f>HYPERLINK("http://dx.doi.org/10.3189/172756499781821427","http://dx.doi.org/10.3189/172756499781821427")</f>
        <v>http://dx.doi.org/10.3189/172756499781821427</v>
      </c>
      <c r="BG973" t="s">
        <v>74</v>
      </c>
      <c r="BH973" t="s">
        <v>74</v>
      </c>
      <c r="BI973">
        <v>5</v>
      </c>
      <c r="BJ973" t="s">
        <v>11976</v>
      </c>
      <c r="BK973" t="s">
        <v>143</v>
      </c>
      <c r="BL973" t="s">
        <v>11977</v>
      </c>
      <c r="BM973" t="s">
        <v>11978</v>
      </c>
      <c r="BN973" t="s">
        <v>74</v>
      </c>
      <c r="BO973" t="s">
        <v>250</v>
      </c>
      <c r="BP973" t="s">
        <v>74</v>
      </c>
      <c r="BQ973" t="s">
        <v>74</v>
      </c>
      <c r="BR973" t="s">
        <v>99</v>
      </c>
      <c r="BS973" t="s">
        <v>12320</v>
      </c>
      <c r="BT973" t="str">
        <f>HYPERLINK("https%3A%2F%2Fwww.webofscience.com%2Fwos%2Fwoscc%2Ffull-record%2FWOS:000086691400038","View Full Record in Web of Science")</f>
        <v>View Full Record in Web of Science</v>
      </c>
    </row>
    <row r="974" spans="1:72" x14ac:dyDescent="0.15">
      <c r="A974" t="s">
        <v>1295</v>
      </c>
      <c r="B974" t="s">
        <v>12321</v>
      </c>
      <c r="C974" t="s">
        <v>74</v>
      </c>
      <c r="D974" t="s">
        <v>11960</v>
      </c>
      <c r="E974" t="s">
        <v>74</v>
      </c>
      <c r="F974" t="s">
        <v>12321</v>
      </c>
      <c r="G974" t="s">
        <v>74</v>
      </c>
      <c r="H974" t="s">
        <v>74</v>
      </c>
      <c r="I974" t="s">
        <v>12322</v>
      </c>
      <c r="J974" t="s">
        <v>11962</v>
      </c>
      <c r="K974" t="s">
        <v>11906</v>
      </c>
      <c r="L974" t="s">
        <v>74</v>
      </c>
      <c r="M974" t="s">
        <v>77</v>
      </c>
      <c r="N974" t="s">
        <v>123</v>
      </c>
      <c r="O974" t="s">
        <v>11963</v>
      </c>
      <c r="P974" t="s">
        <v>11964</v>
      </c>
      <c r="Q974" t="s">
        <v>11965</v>
      </c>
      <c r="R974" t="s">
        <v>74</v>
      </c>
      <c r="S974" t="s">
        <v>11966</v>
      </c>
      <c r="T974" t="s">
        <v>74</v>
      </c>
      <c r="U974" t="s">
        <v>74</v>
      </c>
      <c r="V974" t="s">
        <v>12323</v>
      </c>
      <c r="W974" t="s">
        <v>12324</v>
      </c>
      <c r="X974" t="s">
        <v>12325</v>
      </c>
      <c r="Y974" t="s">
        <v>12326</v>
      </c>
      <c r="Z974" t="s">
        <v>74</v>
      </c>
      <c r="AA974" t="s">
        <v>12327</v>
      </c>
      <c r="AB974" t="s">
        <v>12328</v>
      </c>
      <c r="AC974" t="s">
        <v>74</v>
      </c>
      <c r="AD974" t="s">
        <v>74</v>
      </c>
      <c r="AE974" t="s">
        <v>74</v>
      </c>
      <c r="AF974" t="s">
        <v>74</v>
      </c>
      <c r="AG974">
        <v>16</v>
      </c>
      <c r="AH974">
        <v>79</v>
      </c>
      <c r="AI974">
        <v>83</v>
      </c>
      <c r="AJ974">
        <v>0</v>
      </c>
      <c r="AK974">
        <v>4</v>
      </c>
      <c r="AL974" t="s">
        <v>11915</v>
      </c>
      <c r="AM974" t="s">
        <v>2505</v>
      </c>
      <c r="AN974" t="s">
        <v>11916</v>
      </c>
      <c r="AO974" t="s">
        <v>11917</v>
      </c>
      <c r="AP974" t="s">
        <v>74</v>
      </c>
      <c r="AQ974" t="s">
        <v>11974</v>
      </c>
      <c r="AR974" t="s">
        <v>11919</v>
      </c>
      <c r="AS974" t="s">
        <v>74</v>
      </c>
      <c r="AT974" t="s">
        <v>74</v>
      </c>
      <c r="AU974">
        <v>1999</v>
      </c>
      <c r="AV974">
        <v>29</v>
      </c>
      <c r="AW974" t="s">
        <v>74</v>
      </c>
      <c r="AX974" t="s">
        <v>74</v>
      </c>
      <c r="AY974" t="s">
        <v>74</v>
      </c>
      <c r="AZ974" t="s">
        <v>74</v>
      </c>
      <c r="BA974" t="s">
        <v>74</v>
      </c>
      <c r="BB974">
        <v>220</v>
      </c>
      <c r="BC974">
        <v>224</v>
      </c>
      <c r="BD974" t="s">
        <v>74</v>
      </c>
      <c r="BE974" t="s">
        <v>12329</v>
      </c>
      <c r="BF974" t="str">
        <f>HYPERLINK("http://dx.doi.org/10.3189/172756499781821085","http://dx.doi.org/10.3189/172756499781821085")</f>
        <v>http://dx.doi.org/10.3189/172756499781821085</v>
      </c>
      <c r="BG974" t="s">
        <v>74</v>
      </c>
      <c r="BH974" t="s">
        <v>74</v>
      </c>
      <c r="BI974">
        <v>5</v>
      </c>
      <c r="BJ974" t="s">
        <v>11976</v>
      </c>
      <c r="BK974" t="s">
        <v>143</v>
      </c>
      <c r="BL974" t="s">
        <v>11977</v>
      </c>
      <c r="BM974" t="s">
        <v>11978</v>
      </c>
      <c r="BN974" t="s">
        <v>74</v>
      </c>
      <c r="BO974" t="s">
        <v>250</v>
      </c>
      <c r="BP974" t="s">
        <v>74</v>
      </c>
      <c r="BQ974" t="s">
        <v>74</v>
      </c>
      <c r="BR974" t="s">
        <v>99</v>
      </c>
      <c r="BS974" t="s">
        <v>12330</v>
      </c>
      <c r="BT974" t="str">
        <f>HYPERLINK("https%3A%2F%2Fwww.webofscience.com%2Fwos%2Fwoscc%2Ffull-record%2FWOS:000086691400039","View Full Record in Web of Science")</f>
        <v>View Full Record in Web of Science</v>
      </c>
    </row>
    <row r="975" spans="1:72" x14ac:dyDescent="0.15">
      <c r="A975" t="s">
        <v>1295</v>
      </c>
      <c r="B975" t="s">
        <v>12331</v>
      </c>
      <c r="C975" t="s">
        <v>74</v>
      </c>
      <c r="D975" t="s">
        <v>11960</v>
      </c>
      <c r="E975" t="s">
        <v>74</v>
      </c>
      <c r="F975" t="s">
        <v>12331</v>
      </c>
      <c r="G975" t="s">
        <v>74</v>
      </c>
      <c r="H975" t="s">
        <v>74</v>
      </c>
      <c r="I975" t="s">
        <v>12332</v>
      </c>
      <c r="J975" t="s">
        <v>11962</v>
      </c>
      <c r="K975" t="s">
        <v>11937</v>
      </c>
      <c r="L975" t="s">
        <v>74</v>
      </c>
      <c r="M975" t="s">
        <v>77</v>
      </c>
      <c r="N975" t="s">
        <v>123</v>
      </c>
      <c r="O975" t="s">
        <v>11963</v>
      </c>
      <c r="P975" t="s">
        <v>11964</v>
      </c>
      <c r="Q975" t="s">
        <v>11965</v>
      </c>
      <c r="R975" t="s">
        <v>74</v>
      </c>
      <c r="S975" t="s">
        <v>11966</v>
      </c>
      <c r="T975" t="s">
        <v>74</v>
      </c>
      <c r="U975" t="s">
        <v>74</v>
      </c>
      <c r="V975" t="s">
        <v>12333</v>
      </c>
      <c r="W975" t="s">
        <v>12334</v>
      </c>
      <c r="X975" t="s">
        <v>12335</v>
      </c>
      <c r="Y975" t="s">
        <v>12336</v>
      </c>
      <c r="Z975" t="s">
        <v>74</v>
      </c>
      <c r="AA975" t="s">
        <v>12337</v>
      </c>
      <c r="AB975" t="s">
        <v>12338</v>
      </c>
      <c r="AC975" t="s">
        <v>74</v>
      </c>
      <c r="AD975" t="s">
        <v>74</v>
      </c>
      <c r="AE975" t="s">
        <v>74</v>
      </c>
      <c r="AF975" t="s">
        <v>74</v>
      </c>
      <c r="AG975">
        <v>15</v>
      </c>
      <c r="AH975">
        <v>9</v>
      </c>
      <c r="AI975">
        <v>9</v>
      </c>
      <c r="AJ975">
        <v>1</v>
      </c>
      <c r="AK975">
        <v>3</v>
      </c>
      <c r="AL975" t="s">
        <v>11915</v>
      </c>
      <c r="AM975" t="s">
        <v>2505</v>
      </c>
      <c r="AN975" t="s">
        <v>11945</v>
      </c>
      <c r="AO975" t="s">
        <v>11917</v>
      </c>
      <c r="AP975" t="s">
        <v>74</v>
      </c>
      <c r="AQ975" t="s">
        <v>11974</v>
      </c>
      <c r="AR975" t="s">
        <v>11946</v>
      </c>
      <c r="AS975" t="s">
        <v>74</v>
      </c>
      <c r="AT975" t="s">
        <v>74</v>
      </c>
      <c r="AU975">
        <v>1999</v>
      </c>
      <c r="AV975">
        <v>29</v>
      </c>
      <c r="AW975" t="s">
        <v>74</v>
      </c>
      <c r="AX975" t="s">
        <v>74</v>
      </c>
      <c r="AY975" t="s">
        <v>74</v>
      </c>
      <c r="AZ975" t="s">
        <v>74</v>
      </c>
      <c r="BA975" t="s">
        <v>74</v>
      </c>
      <c r="BB975">
        <v>225</v>
      </c>
      <c r="BC975">
        <v>230</v>
      </c>
      <c r="BD975" t="s">
        <v>74</v>
      </c>
      <c r="BE975" t="s">
        <v>12339</v>
      </c>
      <c r="BF975" t="str">
        <f>HYPERLINK("http://dx.doi.org/10.3189/172756499781821463","http://dx.doi.org/10.3189/172756499781821463")</f>
        <v>http://dx.doi.org/10.3189/172756499781821463</v>
      </c>
      <c r="BG975" t="s">
        <v>74</v>
      </c>
      <c r="BH975" t="s">
        <v>74</v>
      </c>
      <c r="BI975">
        <v>6</v>
      </c>
      <c r="BJ975" t="s">
        <v>11976</v>
      </c>
      <c r="BK975" t="s">
        <v>143</v>
      </c>
      <c r="BL975" t="s">
        <v>11977</v>
      </c>
      <c r="BM975" t="s">
        <v>11978</v>
      </c>
      <c r="BN975" t="s">
        <v>74</v>
      </c>
      <c r="BO975" t="s">
        <v>250</v>
      </c>
      <c r="BP975" t="s">
        <v>74</v>
      </c>
      <c r="BQ975" t="s">
        <v>74</v>
      </c>
      <c r="BR975" t="s">
        <v>99</v>
      </c>
      <c r="BS975" t="s">
        <v>12340</v>
      </c>
      <c r="BT975" t="str">
        <f>HYPERLINK("https%3A%2F%2Fwww.webofscience.com%2Fwos%2Fwoscc%2Ffull-record%2FWOS:000086691400040","View Full Record in Web of Science")</f>
        <v>View Full Record in Web of Science</v>
      </c>
    </row>
    <row r="976" spans="1:72" x14ac:dyDescent="0.15">
      <c r="A976" t="s">
        <v>1295</v>
      </c>
      <c r="B976" t="s">
        <v>12341</v>
      </c>
      <c r="C976" t="s">
        <v>74</v>
      </c>
      <c r="D976" t="s">
        <v>11960</v>
      </c>
      <c r="E976" t="s">
        <v>74</v>
      </c>
      <c r="F976" t="s">
        <v>12341</v>
      </c>
      <c r="G976" t="s">
        <v>74</v>
      </c>
      <c r="H976" t="s">
        <v>74</v>
      </c>
      <c r="I976" t="s">
        <v>12342</v>
      </c>
      <c r="J976" t="s">
        <v>11962</v>
      </c>
      <c r="K976" t="s">
        <v>11937</v>
      </c>
      <c r="L976" t="s">
        <v>74</v>
      </c>
      <c r="M976" t="s">
        <v>77</v>
      </c>
      <c r="N976" t="s">
        <v>123</v>
      </c>
      <c r="O976" t="s">
        <v>11963</v>
      </c>
      <c r="P976" t="s">
        <v>11964</v>
      </c>
      <c r="Q976" t="s">
        <v>11965</v>
      </c>
      <c r="R976" t="s">
        <v>74</v>
      </c>
      <c r="S976" t="s">
        <v>11966</v>
      </c>
      <c r="T976" t="s">
        <v>74</v>
      </c>
      <c r="U976" t="s">
        <v>12343</v>
      </c>
      <c r="V976" t="s">
        <v>12344</v>
      </c>
      <c r="W976" t="s">
        <v>12345</v>
      </c>
      <c r="X976" t="s">
        <v>12346</v>
      </c>
      <c r="Y976" t="s">
        <v>12316</v>
      </c>
      <c r="Z976" t="s">
        <v>74</v>
      </c>
      <c r="AA976" t="s">
        <v>74</v>
      </c>
      <c r="AB976" t="s">
        <v>12347</v>
      </c>
      <c r="AC976" t="s">
        <v>74</v>
      </c>
      <c r="AD976" t="s">
        <v>74</v>
      </c>
      <c r="AE976" t="s">
        <v>74</v>
      </c>
      <c r="AF976" t="s">
        <v>74</v>
      </c>
      <c r="AG976">
        <v>25</v>
      </c>
      <c r="AH976">
        <v>40</v>
      </c>
      <c r="AI976">
        <v>42</v>
      </c>
      <c r="AJ976">
        <v>0</v>
      </c>
      <c r="AK976">
        <v>7</v>
      </c>
      <c r="AL976" t="s">
        <v>11915</v>
      </c>
      <c r="AM976" t="s">
        <v>2505</v>
      </c>
      <c r="AN976" t="s">
        <v>11945</v>
      </c>
      <c r="AO976" t="s">
        <v>11917</v>
      </c>
      <c r="AP976" t="s">
        <v>74</v>
      </c>
      <c r="AQ976" t="s">
        <v>11974</v>
      </c>
      <c r="AR976" t="s">
        <v>11946</v>
      </c>
      <c r="AS976" t="s">
        <v>74</v>
      </c>
      <c r="AT976" t="s">
        <v>74</v>
      </c>
      <c r="AU976">
        <v>1999</v>
      </c>
      <c r="AV976">
        <v>29</v>
      </c>
      <c r="AW976" t="s">
        <v>74</v>
      </c>
      <c r="AX976" t="s">
        <v>74</v>
      </c>
      <c r="AY976" t="s">
        <v>74</v>
      </c>
      <c r="AZ976" t="s">
        <v>74</v>
      </c>
      <c r="BA976" t="s">
        <v>74</v>
      </c>
      <c r="BB976">
        <v>231</v>
      </c>
      <c r="BC976">
        <v>238</v>
      </c>
      <c r="BD976" t="s">
        <v>74</v>
      </c>
      <c r="BE976" t="s">
        <v>12348</v>
      </c>
      <c r="BF976" t="str">
        <f>HYPERLINK("http://dx.doi.org/10.3189/172756499781821346","http://dx.doi.org/10.3189/172756499781821346")</f>
        <v>http://dx.doi.org/10.3189/172756499781821346</v>
      </c>
      <c r="BG976" t="s">
        <v>74</v>
      </c>
      <c r="BH976" t="s">
        <v>74</v>
      </c>
      <c r="BI976">
        <v>8</v>
      </c>
      <c r="BJ976" t="s">
        <v>11976</v>
      </c>
      <c r="BK976" t="s">
        <v>143</v>
      </c>
      <c r="BL976" t="s">
        <v>11977</v>
      </c>
      <c r="BM976" t="s">
        <v>11978</v>
      </c>
      <c r="BN976" t="s">
        <v>74</v>
      </c>
      <c r="BO976" t="s">
        <v>250</v>
      </c>
      <c r="BP976" t="s">
        <v>74</v>
      </c>
      <c r="BQ976" t="s">
        <v>74</v>
      </c>
      <c r="BR976" t="s">
        <v>99</v>
      </c>
      <c r="BS976" t="s">
        <v>12349</v>
      </c>
      <c r="BT976" t="str">
        <f>HYPERLINK("https%3A%2F%2Fwww.webofscience.com%2Fwos%2Fwoscc%2Ffull-record%2FWOS:000086691400041","View Full Record in Web of Science")</f>
        <v>View Full Record in Web of Science</v>
      </c>
    </row>
    <row r="977" spans="1:72" x14ac:dyDescent="0.15">
      <c r="A977" t="s">
        <v>1295</v>
      </c>
      <c r="B977" t="s">
        <v>12350</v>
      </c>
      <c r="C977" t="s">
        <v>74</v>
      </c>
      <c r="D977" t="s">
        <v>11960</v>
      </c>
      <c r="E977" t="s">
        <v>74</v>
      </c>
      <c r="F977" t="s">
        <v>12350</v>
      </c>
      <c r="G977" t="s">
        <v>74</v>
      </c>
      <c r="H977" t="s">
        <v>74</v>
      </c>
      <c r="I977" t="s">
        <v>12351</v>
      </c>
      <c r="J977" t="s">
        <v>11962</v>
      </c>
      <c r="K977" t="s">
        <v>11937</v>
      </c>
      <c r="L977" t="s">
        <v>74</v>
      </c>
      <c r="M977" t="s">
        <v>77</v>
      </c>
      <c r="N977" t="s">
        <v>123</v>
      </c>
      <c r="O977" t="s">
        <v>11963</v>
      </c>
      <c r="P977" t="s">
        <v>11964</v>
      </c>
      <c r="Q977" t="s">
        <v>11965</v>
      </c>
      <c r="R977" t="s">
        <v>74</v>
      </c>
      <c r="S977" t="s">
        <v>11966</v>
      </c>
      <c r="T977" t="s">
        <v>74</v>
      </c>
      <c r="U977" t="s">
        <v>12352</v>
      </c>
      <c r="V977" t="s">
        <v>12353</v>
      </c>
      <c r="W977" t="s">
        <v>12354</v>
      </c>
      <c r="X977" t="s">
        <v>12355</v>
      </c>
      <c r="Y977" t="s">
        <v>12356</v>
      </c>
      <c r="Z977" t="s">
        <v>74</v>
      </c>
      <c r="AA977" t="s">
        <v>74</v>
      </c>
      <c r="AB977" t="s">
        <v>12357</v>
      </c>
      <c r="AC977" t="s">
        <v>74</v>
      </c>
      <c r="AD977" t="s">
        <v>74</v>
      </c>
      <c r="AE977" t="s">
        <v>74</v>
      </c>
      <c r="AF977" t="s">
        <v>74</v>
      </c>
      <c r="AG977">
        <v>9</v>
      </c>
      <c r="AH977">
        <v>14</v>
      </c>
      <c r="AI977">
        <v>15</v>
      </c>
      <c r="AJ977">
        <v>0</v>
      </c>
      <c r="AK977">
        <v>0</v>
      </c>
      <c r="AL977" t="s">
        <v>11915</v>
      </c>
      <c r="AM977" t="s">
        <v>2505</v>
      </c>
      <c r="AN977" t="s">
        <v>11945</v>
      </c>
      <c r="AO977" t="s">
        <v>11917</v>
      </c>
      <c r="AP977" t="s">
        <v>74</v>
      </c>
      <c r="AQ977" t="s">
        <v>11974</v>
      </c>
      <c r="AR977" t="s">
        <v>11946</v>
      </c>
      <c r="AS977" t="s">
        <v>74</v>
      </c>
      <c r="AT977" t="s">
        <v>74</v>
      </c>
      <c r="AU977">
        <v>1999</v>
      </c>
      <c r="AV977">
        <v>29</v>
      </c>
      <c r="AW977" t="s">
        <v>74</v>
      </c>
      <c r="AX977" t="s">
        <v>74</v>
      </c>
      <c r="AY977" t="s">
        <v>74</v>
      </c>
      <c r="AZ977" t="s">
        <v>74</v>
      </c>
      <c r="BA977" t="s">
        <v>74</v>
      </c>
      <c r="BB977">
        <v>239</v>
      </c>
      <c r="BC977">
        <v>242</v>
      </c>
      <c r="BD977" t="s">
        <v>74</v>
      </c>
      <c r="BE977" t="s">
        <v>12358</v>
      </c>
      <c r="BF977" t="str">
        <f>HYPERLINK("http://dx.doi.org/10.3189/172756499781821247","http://dx.doi.org/10.3189/172756499781821247")</f>
        <v>http://dx.doi.org/10.3189/172756499781821247</v>
      </c>
      <c r="BG977" t="s">
        <v>74</v>
      </c>
      <c r="BH977" t="s">
        <v>74</v>
      </c>
      <c r="BI977">
        <v>4</v>
      </c>
      <c r="BJ977" t="s">
        <v>11976</v>
      </c>
      <c r="BK977" t="s">
        <v>143</v>
      </c>
      <c r="BL977" t="s">
        <v>11977</v>
      </c>
      <c r="BM977" t="s">
        <v>11978</v>
      </c>
      <c r="BN977" t="s">
        <v>74</v>
      </c>
      <c r="BO977" t="s">
        <v>250</v>
      </c>
      <c r="BP977" t="s">
        <v>74</v>
      </c>
      <c r="BQ977" t="s">
        <v>74</v>
      </c>
      <c r="BR977" t="s">
        <v>99</v>
      </c>
      <c r="BS977" t="s">
        <v>12359</v>
      </c>
      <c r="BT977" t="str">
        <f>HYPERLINK("https%3A%2F%2Fwww.webofscience.com%2Fwos%2Fwoscc%2Ffull-record%2FWOS:000086691400042","View Full Record in Web of Science")</f>
        <v>View Full Record in Web of Science</v>
      </c>
    </row>
    <row r="978" spans="1:72" x14ac:dyDescent="0.15">
      <c r="A978" t="s">
        <v>1295</v>
      </c>
      <c r="B978" t="s">
        <v>12360</v>
      </c>
      <c r="C978" t="s">
        <v>74</v>
      </c>
      <c r="D978" t="s">
        <v>11960</v>
      </c>
      <c r="E978" t="s">
        <v>74</v>
      </c>
      <c r="F978" t="s">
        <v>12360</v>
      </c>
      <c r="G978" t="s">
        <v>74</v>
      </c>
      <c r="H978" t="s">
        <v>74</v>
      </c>
      <c r="I978" t="s">
        <v>12361</v>
      </c>
      <c r="J978" t="s">
        <v>11962</v>
      </c>
      <c r="K978" t="s">
        <v>11906</v>
      </c>
      <c r="L978" t="s">
        <v>74</v>
      </c>
      <c r="M978" t="s">
        <v>77</v>
      </c>
      <c r="N978" t="s">
        <v>123</v>
      </c>
      <c r="O978" t="s">
        <v>11963</v>
      </c>
      <c r="P978" t="s">
        <v>11964</v>
      </c>
      <c r="Q978" t="s">
        <v>11965</v>
      </c>
      <c r="R978" t="s">
        <v>74</v>
      </c>
      <c r="S978" t="s">
        <v>11966</v>
      </c>
      <c r="T978" t="s">
        <v>74</v>
      </c>
      <c r="U978" t="s">
        <v>74</v>
      </c>
      <c r="V978" t="s">
        <v>12362</v>
      </c>
      <c r="W978" t="s">
        <v>12363</v>
      </c>
      <c r="X978" t="s">
        <v>10541</v>
      </c>
      <c r="Y978" t="s">
        <v>12364</v>
      </c>
      <c r="Z978" t="s">
        <v>74</v>
      </c>
      <c r="AA978" t="s">
        <v>74</v>
      </c>
      <c r="AB978" t="s">
        <v>74</v>
      </c>
      <c r="AC978" t="s">
        <v>74</v>
      </c>
      <c r="AD978" t="s">
        <v>74</v>
      </c>
      <c r="AE978" t="s">
        <v>74</v>
      </c>
      <c r="AF978" t="s">
        <v>74</v>
      </c>
      <c r="AG978">
        <v>14</v>
      </c>
      <c r="AH978">
        <v>0</v>
      </c>
      <c r="AI978">
        <v>1</v>
      </c>
      <c r="AJ978">
        <v>0</v>
      </c>
      <c r="AK978">
        <v>2</v>
      </c>
      <c r="AL978" t="s">
        <v>11915</v>
      </c>
      <c r="AM978" t="s">
        <v>2505</v>
      </c>
      <c r="AN978" t="s">
        <v>11916</v>
      </c>
      <c r="AO978" t="s">
        <v>11917</v>
      </c>
      <c r="AP978" t="s">
        <v>74</v>
      </c>
      <c r="AQ978" t="s">
        <v>11974</v>
      </c>
      <c r="AR978" t="s">
        <v>11919</v>
      </c>
      <c r="AS978" t="s">
        <v>74</v>
      </c>
      <c r="AT978" t="s">
        <v>74</v>
      </c>
      <c r="AU978">
        <v>1999</v>
      </c>
      <c r="AV978">
        <v>29</v>
      </c>
      <c r="AW978" t="s">
        <v>74</v>
      </c>
      <c r="AX978" t="s">
        <v>74</v>
      </c>
      <c r="AY978" t="s">
        <v>74</v>
      </c>
      <c r="AZ978" t="s">
        <v>74</v>
      </c>
      <c r="BA978" t="s">
        <v>74</v>
      </c>
      <c r="BB978">
        <v>243</v>
      </c>
      <c r="BC978">
        <v>249</v>
      </c>
      <c r="BD978" t="s">
        <v>74</v>
      </c>
      <c r="BE978" t="s">
        <v>12365</v>
      </c>
      <c r="BF978" t="str">
        <f>HYPERLINK("http://dx.doi.org/10.3189/172756499781821184","http://dx.doi.org/10.3189/172756499781821184")</f>
        <v>http://dx.doi.org/10.3189/172756499781821184</v>
      </c>
      <c r="BG978" t="s">
        <v>74</v>
      </c>
      <c r="BH978" t="s">
        <v>74</v>
      </c>
      <c r="BI978">
        <v>7</v>
      </c>
      <c r="BJ978" t="s">
        <v>11976</v>
      </c>
      <c r="BK978" t="s">
        <v>143</v>
      </c>
      <c r="BL978" t="s">
        <v>11977</v>
      </c>
      <c r="BM978" t="s">
        <v>11978</v>
      </c>
      <c r="BN978" t="s">
        <v>74</v>
      </c>
      <c r="BO978" t="s">
        <v>250</v>
      </c>
      <c r="BP978" t="s">
        <v>74</v>
      </c>
      <c r="BQ978" t="s">
        <v>74</v>
      </c>
      <c r="BR978" t="s">
        <v>99</v>
      </c>
      <c r="BS978" t="s">
        <v>12366</v>
      </c>
      <c r="BT978" t="str">
        <f>HYPERLINK("https%3A%2F%2Fwww.webofscience.com%2Fwos%2Fwoscc%2Ffull-record%2FWOS:000086691400043","View Full Record in Web of Science")</f>
        <v>View Full Record in Web of Science</v>
      </c>
    </row>
    <row r="979" spans="1:72" x14ac:dyDescent="0.15">
      <c r="A979" t="s">
        <v>1295</v>
      </c>
      <c r="B979" t="s">
        <v>12367</v>
      </c>
      <c r="C979" t="s">
        <v>74</v>
      </c>
      <c r="D979" t="s">
        <v>11960</v>
      </c>
      <c r="E979" t="s">
        <v>74</v>
      </c>
      <c r="F979" t="s">
        <v>12367</v>
      </c>
      <c r="G979" t="s">
        <v>74</v>
      </c>
      <c r="H979" t="s">
        <v>74</v>
      </c>
      <c r="I979" t="s">
        <v>12368</v>
      </c>
      <c r="J979" t="s">
        <v>11962</v>
      </c>
      <c r="K979" t="s">
        <v>11937</v>
      </c>
      <c r="L979" t="s">
        <v>74</v>
      </c>
      <c r="M979" t="s">
        <v>77</v>
      </c>
      <c r="N979" t="s">
        <v>123</v>
      </c>
      <c r="O979" t="s">
        <v>11963</v>
      </c>
      <c r="P979" t="s">
        <v>11964</v>
      </c>
      <c r="Q979" t="s">
        <v>11965</v>
      </c>
      <c r="R979" t="s">
        <v>74</v>
      </c>
      <c r="S979" t="s">
        <v>11966</v>
      </c>
      <c r="T979" t="s">
        <v>74</v>
      </c>
      <c r="U979" t="s">
        <v>74</v>
      </c>
      <c r="V979" t="s">
        <v>12369</v>
      </c>
      <c r="W979" t="s">
        <v>1221</v>
      </c>
      <c r="X979" t="s">
        <v>1222</v>
      </c>
      <c r="Y979" t="s">
        <v>12370</v>
      </c>
      <c r="Z979" t="s">
        <v>74</v>
      </c>
      <c r="AA979" t="s">
        <v>74</v>
      </c>
      <c r="AB979" t="s">
        <v>12357</v>
      </c>
      <c r="AC979" t="s">
        <v>74</v>
      </c>
      <c r="AD979" t="s">
        <v>74</v>
      </c>
      <c r="AE979" t="s">
        <v>74</v>
      </c>
      <c r="AF979" t="s">
        <v>74</v>
      </c>
      <c r="AG979">
        <v>24</v>
      </c>
      <c r="AH979">
        <v>11</v>
      </c>
      <c r="AI979">
        <v>11</v>
      </c>
      <c r="AJ979">
        <v>0</v>
      </c>
      <c r="AK979">
        <v>4</v>
      </c>
      <c r="AL979" t="s">
        <v>11915</v>
      </c>
      <c r="AM979" t="s">
        <v>2505</v>
      </c>
      <c r="AN979" t="s">
        <v>11945</v>
      </c>
      <c r="AO979" t="s">
        <v>11917</v>
      </c>
      <c r="AP979" t="s">
        <v>74</v>
      </c>
      <c r="AQ979" t="s">
        <v>11974</v>
      </c>
      <c r="AR979" t="s">
        <v>11946</v>
      </c>
      <c r="AS979" t="s">
        <v>74</v>
      </c>
      <c r="AT979" t="s">
        <v>74</v>
      </c>
      <c r="AU979">
        <v>1999</v>
      </c>
      <c r="AV979">
        <v>29</v>
      </c>
      <c r="AW979" t="s">
        <v>74</v>
      </c>
      <c r="AX979" t="s">
        <v>74</v>
      </c>
      <c r="AY979" t="s">
        <v>74</v>
      </c>
      <c r="AZ979" t="s">
        <v>74</v>
      </c>
      <c r="BA979" t="s">
        <v>74</v>
      </c>
      <c r="BB979">
        <v>250</v>
      </c>
      <c r="BC979">
        <v>254</v>
      </c>
      <c r="BD979" t="s">
        <v>74</v>
      </c>
      <c r="BE979" t="s">
        <v>12371</v>
      </c>
      <c r="BF979" t="str">
        <f>HYPERLINK("http://dx.doi.org/10.3189/172756499781820996","http://dx.doi.org/10.3189/172756499781820996")</f>
        <v>http://dx.doi.org/10.3189/172756499781820996</v>
      </c>
      <c r="BG979" t="s">
        <v>74</v>
      </c>
      <c r="BH979" t="s">
        <v>74</v>
      </c>
      <c r="BI979">
        <v>5</v>
      </c>
      <c r="BJ979" t="s">
        <v>11976</v>
      </c>
      <c r="BK979" t="s">
        <v>143</v>
      </c>
      <c r="BL979" t="s">
        <v>11977</v>
      </c>
      <c r="BM979" t="s">
        <v>11978</v>
      </c>
      <c r="BN979" t="s">
        <v>74</v>
      </c>
      <c r="BO979" t="s">
        <v>250</v>
      </c>
      <c r="BP979" t="s">
        <v>74</v>
      </c>
      <c r="BQ979" t="s">
        <v>74</v>
      </c>
      <c r="BR979" t="s">
        <v>99</v>
      </c>
      <c r="BS979" t="s">
        <v>12372</v>
      </c>
      <c r="BT979" t="str">
        <f>HYPERLINK("https%3A%2F%2Fwww.webofscience.com%2Fwos%2Fwoscc%2Ffull-record%2FWOS:000086691400044","View Full Record in Web of Science")</f>
        <v>View Full Record in Web of Science</v>
      </c>
    </row>
    <row r="980" spans="1:72" x14ac:dyDescent="0.15">
      <c r="A980" t="s">
        <v>1295</v>
      </c>
      <c r="B980" t="s">
        <v>12373</v>
      </c>
      <c r="C980" t="s">
        <v>74</v>
      </c>
      <c r="D980" t="s">
        <v>11960</v>
      </c>
      <c r="E980" t="s">
        <v>74</v>
      </c>
      <c r="F980" t="s">
        <v>12373</v>
      </c>
      <c r="G980" t="s">
        <v>74</v>
      </c>
      <c r="H980" t="s">
        <v>74</v>
      </c>
      <c r="I980" t="s">
        <v>12374</v>
      </c>
      <c r="J980" t="s">
        <v>11962</v>
      </c>
      <c r="K980" t="s">
        <v>11937</v>
      </c>
      <c r="L980" t="s">
        <v>74</v>
      </c>
      <c r="M980" t="s">
        <v>77</v>
      </c>
      <c r="N980" t="s">
        <v>123</v>
      </c>
      <c r="O980" t="s">
        <v>11963</v>
      </c>
      <c r="P980" t="s">
        <v>11964</v>
      </c>
      <c r="Q980" t="s">
        <v>11965</v>
      </c>
      <c r="R980" t="s">
        <v>74</v>
      </c>
      <c r="S980" t="s">
        <v>11966</v>
      </c>
      <c r="T980" t="s">
        <v>74</v>
      </c>
      <c r="U980" t="s">
        <v>12375</v>
      </c>
      <c r="V980" t="s">
        <v>12376</v>
      </c>
      <c r="W980" t="s">
        <v>12377</v>
      </c>
      <c r="X980" t="s">
        <v>12378</v>
      </c>
      <c r="Y980" t="s">
        <v>12379</v>
      </c>
      <c r="Z980" t="s">
        <v>74</v>
      </c>
      <c r="AA980" t="s">
        <v>12380</v>
      </c>
      <c r="AB980" t="s">
        <v>12381</v>
      </c>
      <c r="AC980" t="s">
        <v>74</v>
      </c>
      <c r="AD980" t="s">
        <v>74</v>
      </c>
      <c r="AE980" t="s">
        <v>74</v>
      </c>
      <c r="AF980" t="s">
        <v>74</v>
      </c>
      <c r="AG980">
        <v>10</v>
      </c>
      <c r="AH980">
        <v>26</v>
      </c>
      <c r="AI980">
        <v>30</v>
      </c>
      <c r="AJ980">
        <v>0</v>
      </c>
      <c r="AK980">
        <v>8</v>
      </c>
      <c r="AL980" t="s">
        <v>11915</v>
      </c>
      <c r="AM980" t="s">
        <v>2505</v>
      </c>
      <c r="AN980" t="s">
        <v>11945</v>
      </c>
      <c r="AO980" t="s">
        <v>11917</v>
      </c>
      <c r="AP980" t="s">
        <v>74</v>
      </c>
      <c r="AQ980" t="s">
        <v>11974</v>
      </c>
      <c r="AR980" t="s">
        <v>11946</v>
      </c>
      <c r="AS980" t="s">
        <v>74</v>
      </c>
      <c r="AT980" t="s">
        <v>74</v>
      </c>
      <c r="AU980">
        <v>1999</v>
      </c>
      <c r="AV980">
        <v>29</v>
      </c>
      <c r="AW980" t="s">
        <v>74</v>
      </c>
      <c r="AX980" t="s">
        <v>74</v>
      </c>
      <c r="AY980" t="s">
        <v>74</v>
      </c>
      <c r="AZ980" t="s">
        <v>74</v>
      </c>
      <c r="BA980" t="s">
        <v>74</v>
      </c>
      <c r="BB980">
        <v>255</v>
      </c>
      <c r="BC980">
        <v>260</v>
      </c>
      <c r="BD980" t="s">
        <v>74</v>
      </c>
      <c r="BE980" t="s">
        <v>12382</v>
      </c>
      <c r="BF980" t="str">
        <f>HYPERLINK("http://dx.doi.org/10.3189/172756499781821283","http://dx.doi.org/10.3189/172756499781821283")</f>
        <v>http://dx.doi.org/10.3189/172756499781821283</v>
      </c>
      <c r="BG980" t="s">
        <v>74</v>
      </c>
      <c r="BH980" t="s">
        <v>74</v>
      </c>
      <c r="BI980">
        <v>6</v>
      </c>
      <c r="BJ980" t="s">
        <v>11976</v>
      </c>
      <c r="BK980" t="s">
        <v>143</v>
      </c>
      <c r="BL980" t="s">
        <v>11977</v>
      </c>
      <c r="BM980" t="s">
        <v>11978</v>
      </c>
      <c r="BN980" t="s">
        <v>74</v>
      </c>
      <c r="BO980" t="s">
        <v>250</v>
      </c>
      <c r="BP980" t="s">
        <v>74</v>
      </c>
      <c r="BQ980" t="s">
        <v>74</v>
      </c>
      <c r="BR980" t="s">
        <v>99</v>
      </c>
      <c r="BS980" t="s">
        <v>12383</v>
      </c>
      <c r="BT980" t="str">
        <f>HYPERLINK("https%3A%2F%2Fwww.webofscience.com%2Fwos%2Fwoscc%2Ffull-record%2FWOS:000086691400045","View Full Record in Web of Science")</f>
        <v>View Full Record in Web of Science</v>
      </c>
    </row>
    <row r="981" spans="1:72" x14ac:dyDescent="0.15">
      <c r="A981" t="s">
        <v>1295</v>
      </c>
      <c r="B981" t="s">
        <v>12384</v>
      </c>
      <c r="C981" t="s">
        <v>74</v>
      </c>
      <c r="D981" t="s">
        <v>11960</v>
      </c>
      <c r="E981" t="s">
        <v>74</v>
      </c>
      <c r="F981" t="s">
        <v>12384</v>
      </c>
      <c r="G981" t="s">
        <v>74</v>
      </c>
      <c r="H981" t="s">
        <v>74</v>
      </c>
      <c r="I981" t="s">
        <v>12385</v>
      </c>
      <c r="J981" t="s">
        <v>11962</v>
      </c>
      <c r="K981" t="s">
        <v>11937</v>
      </c>
      <c r="L981" t="s">
        <v>74</v>
      </c>
      <c r="M981" t="s">
        <v>77</v>
      </c>
      <c r="N981" t="s">
        <v>123</v>
      </c>
      <c r="O981" t="s">
        <v>11963</v>
      </c>
      <c r="P981" t="s">
        <v>11964</v>
      </c>
      <c r="Q981" t="s">
        <v>11965</v>
      </c>
      <c r="R981" t="s">
        <v>74</v>
      </c>
      <c r="S981" t="s">
        <v>11966</v>
      </c>
      <c r="T981" t="s">
        <v>74</v>
      </c>
      <c r="U981" t="s">
        <v>12386</v>
      </c>
      <c r="V981" t="s">
        <v>12387</v>
      </c>
      <c r="W981" t="s">
        <v>12388</v>
      </c>
      <c r="X981" t="s">
        <v>12389</v>
      </c>
      <c r="Y981" t="s">
        <v>12390</v>
      </c>
      <c r="Z981" t="s">
        <v>74</v>
      </c>
      <c r="AA981" t="s">
        <v>12380</v>
      </c>
      <c r="AB981" t="s">
        <v>12381</v>
      </c>
      <c r="AC981" t="s">
        <v>74</v>
      </c>
      <c r="AD981" t="s">
        <v>74</v>
      </c>
      <c r="AE981" t="s">
        <v>74</v>
      </c>
      <c r="AF981" t="s">
        <v>74</v>
      </c>
      <c r="AG981">
        <v>12</v>
      </c>
      <c r="AH981">
        <v>18</v>
      </c>
      <c r="AI981">
        <v>21</v>
      </c>
      <c r="AJ981">
        <v>0</v>
      </c>
      <c r="AK981">
        <v>8</v>
      </c>
      <c r="AL981" t="s">
        <v>11915</v>
      </c>
      <c r="AM981" t="s">
        <v>2505</v>
      </c>
      <c r="AN981" t="s">
        <v>11945</v>
      </c>
      <c r="AO981" t="s">
        <v>11917</v>
      </c>
      <c r="AP981" t="s">
        <v>74</v>
      </c>
      <c r="AQ981" t="s">
        <v>11974</v>
      </c>
      <c r="AR981" t="s">
        <v>11946</v>
      </c>
      <c r="AS981" t="s">
        <v>74</v>
      </c>
      <c r="AT981" t="s">
        <v>74</v>
      </c>
      <c r="AU981">
        <v>1999</v>
      </c>
      <c r="AV981">
        <v>29</v>
      </c>
      <c r="AW981" t="s">
        <v>74</v>
      </c>
      <c r="AX981" t="s">
        <v>74</v>
      </c>
      <c r="AY981" t="s">
        <v>74</v>
      </c>
      <c r="AZ981" t="s">
        <v>74</v>
      </c>
      <c r="BA981" t="s">
        <v>74</v>
      </c>
      <c r="BB981">
        <v>261</v>
      </c>
      <c r="BC981">
        <v>266</v>
      </c>
      <c r="BD981" t="s">
        <v>74</v>
      </c>
      <c r="BE981" t="s">
        <v>12391</v>
      </c>
      <c r="BF981" t="str">
        <f>HYPERLINK("http://dx.doi.org/10.3189/172756499781821120","http://dx.doi.org/10.3189/172756499781821120")</f>
        <v>http://dx.doi.org/10.3189/172756499781821120</v>
      </c>
      <c r="BG981" t="s">
        <v>74</v>
      </c>
      <c r="BH981" t="s">
        <v>74</v>
      </c>
      <c r="BI981">
        <v>6</v>
      </c>
      <c r="BJ981" t="s">
        <v>11976</v>
      </c>
      <c r="BK981" t="s">
        <v>143</v>
      </c>
      <c r="BL981" t="s">
        <v>11977</v>
      </c>
      <c r="BM981" t="s">
        <v>11978</v>
      </c>
      <c r="BN981" t="s">
        <v>74</v>
      </c>
      <c r="BO981" t="s">
        <v>250</v>
      </c>
      <c r="BP981" t="s">
        <v>74</v>
      </c>
      <c r="BQ981" t="s">
        <v>74</v>
      </c>
      <c r="BR981" t="s">
        <v>99</v>
      </c>
      <c r="BS981" t="s">
        <v>12392</v>
      </c>
      <c r="BT981" t="str">
        <f>HYPERLINK("https%3A%2F%2Fwww.webofscience.com%2Fwos%2Fwoscc%2Ffull-record%2FWOS:000086691400046","View Full Record in Web of Science")</f>
        <v>View Full Record in Web of Science</v>
      </c>
    </row>
    <row r="982" spans="1:72" x14ac:dyDescent="0.15">
      <c r="A982" t="s">
        <v>1295</v>
      </c>
      <c r="B982" t="s">
        <v>12393</v>
      </c>
      <c r="C982" t="s">
        <v>74</v>
      </c>
      <c r="D982" t="s">
        <v>11960</v>
      </c>
      <c r="E982" t="s">
        <v>74</v>
      </c>
      <c r="F982" t="s">
        <v>12393</v>
      </c>
      <c r="G982" t="s">
        <v>74</v>
      </c>
      <c r="H982" t="s">
        <v>74</v>
      </c>
      <c r="I982" t="s">
        <v>12394</v>
      </c>
      <c r="J982" t="s">
        <v>11962</v>
      </c>
      <c r="K982" t="s">
        <v>11906</v>
      </c>
      <c r="L982" t="s">
        <v>74</v>
      </c>
      <c r="M982" t="s">
        <v>77</v>
      </c>
      <c r="N982" t="s">
        <v>123</v>
      </c>
      <c r="O982" t="s">
        <v>11963</v>
      </c>
      <c r="P982" t="s">
        <v>11964</v>
      </c>
      <c r="Q982" t="s">
        <v>11965</v>
      </c>
      <c r="R982" t="s">
        <v>74</v>
      </c>
      <c r="S982" t="s">
        <v>11966</v>
      </c>
      <c r="T982" t="s">
        <v>74</v>
      </c>
      <c r="U982" t="s">
        <v>12395</v>
      </c>
      <c r="V982" t="s">
        <v>12396</v>
      </c>
      <c r="W982" t="s">
        <v>12397</v>
      </c>
      <c r="X982" t="s">
        <v>1222</v>
      </c>
      <c r="Y982" t="s">
        <v>12398</v>
      </c>
      <c r="Z982" t="s">
        <v>74</v>
      </c>
      <c r="AA982" t="s">
        <v>74</v>
      </c>
      <c r="AB982" t="s">
        <v>12357</v>
      </c>
      <c r="AC982" t="s">
        <v>74</v>
      </c>
      <c r="AD982" t="s">
        <v>74</v>
      </c>
      <c r="AE982" t="s">
        <v>74</v>
      </c>
      <c r="AF982" t="s">
        <v>74</v>
      </c>
      <c r="AG982">
        <v>21</v>
      </c>
      <c r="AH982">
        <v>37</v>
      </c>
      <c r="AI982">
        <v>40</v>
      </c>
      <c r="AJ982">
        <v>0</v>
      </c>
      <c r="AK982">
        <v>4</v>
      </c>
      <c r="AL982" t="s">
        <v>11915</v>
      </c>
      <c r="AM982" t="s">
        <v>2505</v>
      </c>
      <c r="AN982" t="s">
        <v>11916</v>
      </c>
      <c r="AO982" t="s">
        <v>11917</v>
      </c>
      <c r="AP982" t="s">
        <v>74</v>
      </c>
      <c r="AQ982" t="s">
        <v>11974</v>
      </c>
      <c r="AR982" t="s">
        <v>11919</v>
      </c>
      <c r="AS982" t="s">
        <v>74</v>
      </c>
      <c r="AT982" t="s">
        <v>74</v>
      </c>
      <c r="AU982">
        <v>1999</v>
      </c>
      <c r="AV982">
        <v>29</v>
      </c>
      <c r="AW982" t="s">
        <v>74</v>
      </c>
      <c r="AX982" t="s">
        <v>74</v>
      </c>
      <c r="AY982" t="s">
        <v>74</v>
      </c>
      <c r="AZ982" t="s">
        <v>74</v>
      </c>
      <c r="BA982" t="s">
        <v>74</v>
      </c>
      <c r="BB982">
        <v>267</v>
      </c>
      <c r="BC982">
        <v>272</v>
      </c>
      <c r="BD982" t="s">
        <v>74</v>
      </c>
      <c r="BE982" t="s">
        <v>12399</v>
      </c>
      <c r="BF982" t="str">
        <f>HYPERLINK("http://dx.doi.org/10.3189/172756499781821409","http://dx.doi.org/10.3189/172756499781821409")</f>
        <v>http://dx.doi.org/10.3189/172756499781821409</v>
      </c>
      <c r="BG982" t="s">
        <v>74</v>
      </c>
      <c r="BH982" t="s">
        <v>74</v>
      </c>
      <c r="BI982">
        <v>6</v>
      </c>
      <c r="BJ982" t="s">
        <v>11976</v>
      </c>
      <c r="BK982" t="s">
        <v>143</v>
      </c>
      <c r="BL982" t="s">
        <v>11977</v>
      </c>
      <c r="BM982" t="s">
        <v>11978</v>
      </c>
      <c r="BN982" t="s">
        <v>74</v>
      </c>
      <c r="BO982" t="s">
        <v>250</v>
      </c>
      <c r="BP982" t="s">
        <v>74</v>
      </c>
      <c r="BQ982" t="s">
        <v>74</v>
      </c>
      <c r="BR982" t="s">
        <v>99</v>
      </c>
      <c r="BS982" t="s">
        <v>12400</v>
      </c>
      <c r="BT982" t="str">
        <f>HYPERLINK("https%3A%2F%2Fwww.webofscience.com%2Fwos%2Fwoscc%2Ffull-record%2FWOS:000086691400047","View Full Record in Web of Science")</f>
        <v>View Full Record in Web of Science</v>
      </c>
    </row>
    <row r="983" spans="1:72" x14ac:dyDescent="0.15">
      <c r="A983" t="s">
        <v>1295</v>
      </c>
      <c r="B983" t="s">
        <v>12401</v>
      </c>
      <c r="C983" t="s">
        <v>74</v>
      </c>
      <c r="D983" t="s">
        <v>11960</v>
      </c>
      <c r="E983" t="s">
        <v>74</v>
      </c>
      <c r="F983" t="s">
        <v>12401</v>
      </c>
      <c r="G983" t="s">
        <v>74</v>
      </c>
      <c r="H983" t="s">
        <v>74</v>
      </c>
      <c r="I983" t="s">
        <v>12402</v>
      </c>
      <c r="J983" t="s">
        <v>11962</v>
      </c>
      <c r="K983" t="s">
        <v>11937</v>
      </c>
      <c r="L983" t="s">
        <v>74</v>
      </c>
      <c r="M983" t="s">
        <v>77</v>
      </c>
      <c r="N983" t="s">
        <v>123</v>
      </c>
      <c r="O983" t="s">
        <v>11963</v>
      </c>
      <c r="P983" t="s">
        <v>11964</v>
      </c>
      <c r="Q983" t="s">
        <v>11965</v>
      </c>
      <c r="R983" t="s">
        <v>74</v>
      </c>
      <c r="S983" t="s">
        <v>11966</v>
      </c>
      <c r="T983" t="s">
        <v>74</v>
      </c>
      <c r="U983" t="s">
        <v>12403</v>
      </c>
      <c r="V983" t="s">
        <v>12404</v>
      </c>
      <c r="W983" t="s">
        <v>12405</v>
      </c>
      <c r="X983" t="s">
        <v>12406</v>
      </c>
      <c r="Y983" t="s">
        <v>4546</v>
      </c>
      <c r="Z983" t="s">
        <v>74</v>
      </c>
      <c r="AA983" t="s">
        <v>12407</v>
      </c>
      <c r="AB983" t="s">
        <v>12408</v>
      </c>
      <c r="AC983" t="s">
        <v>74</v>
      </c>
      <c r="AD983" t="s">
        <v>74</v>
      </c>
      <c r="AE983" t="s">
        <v>74</v>
      </c>
      <c r="AF983" t="s">
        <v>74</v>
      </c>
      <c r="AG983">
        <v>21</v>
      </c>
      <c r="AH983">
        <v>7</v>
      </c>
      <c r="AI983">
        <v>7</v>
      </c>
      <c r="AJ983">
        <v>0</v>
      </c>
      <c r="AK983">
        <v>0</v>
      </c>
      <c r="AL983" t="s">
        <v>11915</v>
      </c>
      <c r="AM983" t="s">
        <v>2505</v>
      </c>
      <c r="AN983" t="s">
        <v>11945</v>
      </c>
      <c r="AO983" t="s">
        <v>11917</v>
      </c>
      <c r="AP983" t="s">
        <v>74</v>
      </c>
      <c r="AQ983" t="s">
        <v>11974</v>
      </c>
      <c r="AR983" t="s">
        <v>11946</v>
      </c>
      <c r="AS983" t="s">
        <v>74</v>
      </c>
      <c r="AT983" t="s">
        <v>74</v>
      </c>
      <c r="AU983">
        <v>1999</v>
      </c>
      <c r="AV983">
        <v>29</v>
      </c>
      <c r="AW983" t="s">
        <v>74</v>
      </c>
      <c r="AX983" t="s">
        <v>74</v>
      </c>
      <c r="AY983" t="s">
        <v>74</v>
      </c>
      <c r="AZ983" t="s">
        <v>74</v>
      </c>
      <c r="BA983" t="s">
        <v>74</v>
      </c>
      <c r="BB983">
        <v>273</v>
      </c>
      <c r="BC983">
        <v>278</v>
      </c>
      <c r="BD983" t="s">
        <v>74</v>
      </c>
      <c r="BE983" t="s">
        <v>12409</v>
      </c>
      <c r="BF983" t="str">
        <f>HYPERLINK("http://dx.doi.org/10.3189/172756499781821067","http://dx.doi.org/10.3189/172756499781821067")</f>
        <v>http://dx.doi.org/10.3189/172756499781821067</v>
      </c>
      <c r="BG983" t="s">
        <v>74</v>
      </c>
      <c r="BH983" t="s">
        <v>74</v>
      </c>
      <c r="BI983">
        <v>6</v>
      </c>
      <c r="BJ983" t="s">
        <v>11976</v>
      </c>
      <c r="BK983" t="s">
        <v>143</v>
      </c>
      <c r="BL983" t="s">
        <v>11977</v>
      </c>
      <c r="BM983" t="s">
        <v>11978</v>
      </c>
      <c r="BN983" t="s">
        <v>74</v>
      </c>
      <c r="BO983" t="s">
        <v>200</v>
      </c>
      <c r="BP983" t="s">
        <v>74</v>
      </c>
      <c r="BQ983" t="s">
        <v>74</v>
      </c>
      <c r="BR983" t="s">
        <v>99</v>
      </c>
      <c r="BS983" t="s">
        <v>12410</v>
      </c>
      <c r="BT983" t="str">
        <f>HYPERLINK("https%3A%2F%2Fwww.webofscience.com%2Fwos%2Fwoscc%2Ffull-record%2FWOS:000086691400048","View Full Record in Web of Science")</f>
        <v>View Full Record in Web of Science</v>
      </c>
    </row>
    <row r="984" spans="1:72" x14ac:dyDescent="0.15">
      <c r="A984" t="s">
        <v>1295</v>
      </c>
      <c r="B984" t="s">
        <v>12411</v>
      </c>
      <c r="C984" t="s">
        <v>74</v>
      </c>
      <c r="D984" t="s">
        <v>11960</v>
      </c>
      <c r="E984" t="s">
        <v>74</v>
      </c>
      <c r="F984" t="s">
        <v>12411</v>
      </c>
      <c r="G984" t="s">
        <v>74</v>
      </c>
      <c r="H984" t="s">
        <v>74</v>
      </c>
      <c r="I984" t="s">
        <v>12412</v>
      </c>
      <c r="J984" t="s">
        <v>11962</v>
      </c>
      <c r="K984" t="s">
        <v>11906</v>
      </c>
      <c r="L984" t="s">
        <v>74</v>
      </c>
      <c r="M984" t="s">
        <v>77</v>
      </c>
      <c r="N984" t="s">
        <v>123</v>
      </c>
      <c r="O984" t="s">
        <v>11963</v>
      </c>
      <c r="P984" t="s">
        <v>11964</v>
      </c>
      <c r="Q984" t="s">
        <v>11965</v>
      </c>
      <c r="R984" t="s">
        <v>74</v>
      </c>
      <c r="S984" t="s">
        <v>11966</v>
      </c>
      <c r="T984" t="s">
        <v>74</v>
      </c>
      <c r="U984" t="s">
        <v>12413</v>
      </c>
      <c r="V984" t="s">
        <v>12414</v>
      </c>
      <c r="W984" t="s">
        <v>12415</v>
      </c>
      <c r="X984" t="s">
        <v>12416</v>
      </c>
      <c r="Y984" t="s">
        <v>12417</v>
      </c>
      <c r="Z984" t="s">
        <v>74</v>
      </c>
      <c r="AA984" t="s">
        <v>74</v>
      </c>
      <c r="AB984" t="s">
        <v>74</v>
      </c>
      <c r="AC984" t="s">
        <v>74</v>
      </c>
      <c r="AD984" t="s">
        <v>74</v>
      </c>
      <c r="AE984" t="s">
        <v>74</v>
      </c>
      <c r="AF984" t="s">
        <v>74</v>
      </c>
      <c r="AG984">
        <v>21</v>
      </c>
      <c r="AH984">
        <v>3</v>
      </c>
      <c r="AI984">
        <v>3</v>
      </c>
      <c r="AJ984">
        <v>0</v>
      </c>
      <c r="AK984">
        <v>6</v>
      </c>
      <c r="AL984" t="s">
        <v>11915</v>
      </c>
      <c r="AM984" t="s">
        <v>2505</v>
      </c>
      <c r="AN984" t="s">
        <v>11916</v>
      </c>
      <c r="AO984" t="s">
        <v>11917</v>
      </c>
      <c r="AP984" t="s">
        <v>74</v>
      </c>
      <c r="AQ984" t="s">
        <v>11974</v>
      </c>
      <c r="AR984" t="s">
        <v>11919</v>
      </c>
      <c r="AS984" t="s">
        <v>74</v>
      </c>
      <c r="AT984" t="s">
        <v>74</v>
      </c>
      <c r="AU984">
        <v>1999</v>
      </c>
      <c r="AV984">
        <v>29</v>
      </c>
      <c r="AW984" t="s">
        <v>74</v>
      </c>
      <c r="AX984" t="s">
        <v>74</v>
      </c>
      <c r="AY984" t="s">
        <v>74</v>
      </c>
      <c r="AZ984" t="s">
        <v>74</v>
      </c>
      <c r="BA984" t="s">
        <v>74</v>
      </c>
      <c r="BB984">
        <v>279</v>
      </c>
      <c r="BC984">
        <v>285</v>
      </c>
      <c r="BD984" t="s">
        <v>74</v>
      </c>
      <c r="BE984" t="s">
        <v>74</v>
      </c>
      <c r="BF984" t="s">
        <v>74</v>
      </c>
      <c r="BG984" t="s">
        <v>74</v>
      </c>
      <c r="BH984" t="s">
        <v>74</v>
      </c>
      <c r="BI984">
        <v>7</v>
      </c>
      <c r="BJ984" t="s">
        <v>11976</v>
      </c>
      <c r="BK984" t="s">
        <v>143</v>
      </c>
      <c r="BL984" t="s">
        <v>11977</v>
      </c>
      <c r="BM984" t="s">
        <v>11978</v>
      </c>
      <c r="BN984" t="s">
        <v>74</v>
      </c>
      <c r="BO984" t="s">
        <v>74</v>
      </c>
      <c r="BP984" t="s">
        <v>74</v>
      </c>
      <c r="BQ984" t="s">
        <v>74</v>
      </c>
      <c r="BR984" t="s">
        <v>99</v>
      </c>
      <c r="BS984" t="s">
        <v>12418</v>
      </c>
      <c r="BT984" t="str">
        <f>HYPERLINK("https%3A%2F%2Fwww.webofscience.com%2Fwos%2Fwoscc%2Ffull-record%2FWOS:000086691400049","View Full Record in Web of Science")</f>
        <v>View Full Record in Web of Science</v>
      </c>
    </row>
    <row r="985" spans="1:72" x14ac:dyDescent="0.15">
      <c r="A985" t="s">
        <v>1295</v>
      </c>
      <c r="B985" t="s">
        <v>12419</v>
      </c>
      <c r="C985" t="s">
        <v>74</v>
      </c>
      <c r="D985" t="s">
        <v>11960</v>
      </c>
      <c r="E985" t="s">
        <v>74</v>
      </c>
      <c r="F985" t="s">
        <v>12419</v>
      </c>
      <c r="G985" t="s">
        <v>74</v>
      </c>
      <c r="H985" t="s">
        <v>74</v>
      </c>
      <c r="I985" t="s">
        <v>12420</v>
      </c>
      <c r="J985" t="s">
        <v>11962</v>
      </c>
      <c r="K985" t="s">
        <v>11937</v>
      </c>
      <c r="L985" t="s">
        <v>74</v>
      </c>
      <c r="M985" t="s">
        <v>77</v>
      </c>
      <c r="N985" t="s">
        <v>123</v>
      </c>
      <c r="O985" t="s">
        <v>11963</v>
      </c>
      <c r="P985" t="s">
        <v>11964</v>
      </c>
      <c r="Q985" t="s">
        <v>11965</v>
      </c>
      <c r="R985" t="s">
        <v>74</v>
      </c>
      <c r="S985" t="s">
        <v>11966</v>
      </c>
      <c r="T985" t="s">
        <v>74</v>
      </c>
      <c r="U985" t="s">
        <v>12421</v>
      </c>
      <c r="V985" t="s">
        <v>12422</v>
      </c>
      <c r="W985" t="s">
        <v>12423</v>
      </c>
      <c r="X985" t="s">
        <v>12131</v>
      </c>
      <c r="Y985" t="s">
        <v>1788</v>
      </c>
      <c r="Z985" t="s">
        <v>74</v>
      </c>
      <c r="AA985" t="s">
        <v>74</v>
      </c>
      <c r="AB985" t="s">
        <v>74</v>
      </c>
      <c r="AC985" t="s">
        <v>74</v>
      </c>
      <c r="AD985" t="s">
        <v>74</v>
      </c>
      <c r="AE985" t="s">
        <v>74</v>
      </c>
      <c r="AF985" t="s">
        <v>74</v>
      </c>
      <c r="AG985">
        <v>18</v>
      </c>
      <c r="AH985">
        <v>100</v>
      </c>
      <c r="AI985">
        <v>110</v>
      </c>
      <c r="AJ985">
        <v>0</v>
      </c>
      <c r="AK985">
        <v>9</v>
      </c>
      <c r="AL985" t="s">
        <v>11915</v>
      </c>
      <c r="AM985" t="s">
        <v>2505</v>
      </c>
      <c r="AN985" t="s">
        <v>11945</v>
      </c>
      <c r="AO985" t="s">
        <v>11917</v>
      </c>
      <c r="AP985" t="s">
        <v>74</v>
      </c>
      <c r="AQ985" t="s">
        <v>11974</v>
      </c>
      <c r="AR985" t="s">
        <v>11946</v>
      </c>
      <c r="AS985" t="s">
        <v>74</v>
      </c>
      <c r="AT985" t="s">
        <v>74</v>
      </c>
      <c r="AU985">
        <v>1999</v>
      </c>
      <c r="AV985">
        <v>29</v>
      </c>
      <c r="AW985" t="s">
        <v>74</v>
      </c>
      <c r="AX985" t="s">
        <v>74</v>
      </c>
      <c r="AY985" t="s">
        <v>74</v>
      </c>
      <c r="AZ985" t="s">
        <v>74</v>
      </c>
      <c r="BA985" t="s">
        <v>74</v>
      </c>
      <c r="BB985">
        <v>286</v>
      </c>
      <c r="BC985">
        <v>290</v>
      </c>
      <c r="BD985" t="s">
        <v>74</v>
      </c>
      <c r="BE985" t="s">
        <v>12424</v>
      </c>
      <c r="BF985" t="str">
        <f>HYPERLINK("http://dx.doi.org/10.3189/172756499781820969","http://dx.doi.org/10.3189/172756499781820969")</f>
        <v>http://dx.doi.org/10.3189/172756499781820969</v>
      </c>
      <c r="BG985" t="s">
        <v>74</v>
      </c>
      <c r="BH985" t="s">
        <v>74</v>
      </c>
      <c r="BI985">
        <v>5</v>
      </c>
      <c r="BJ985" t="s">
        <v>11976</v>
      </c>
      <c r="BK985" t="s">
        <v>143</v>
      </c>
      <c r="BL985" t="s">
        <v>11977</v>
      </c>
      <c r="BM985" t="s">
        <v>11978</v>
      </c>
      <c r="BN985" t="s">
        <v>74</v>
      </c>
      <c r="BO985" t="s">
        <v>250</v>
      </c>
      <c r="BP985" t="s">
        <v>74</v>
      </c>
      <c r="BQ985" t="s">
        <v>74</v>
      </c>
      <c r="BR985" t="s">
        <v>99</v>
      </c>
      <c r="BS985" t="s">
        <v>12425</v>
      </c>
      <c r="BT985" t="str">
        <f>HYPERLINK("https%3A%2F%2Fwww.webofscience.com%2Fwos%2Fwoscc%2Ffull-record%2FWOS:000086691400050","View Full Record in Web of Science")</f>
        <v>View Full Record in Web of Science</v>
      </c>
    </row>
    <row r="986" spans="1:72" x14ac:dyDescent="0.15">
      <c r="A986" t="s">
        <v>72</v>
      </c>
      <c r="B986" t="s">
        <v>12426</v>
      </c>
      <c r="C986" t="s">
        <v>74</v>
      </c>
      <c r="D986" t="s">
        <v>74</v>
      </c>
      <c r="E986" t="s">
        <v>74</v>
      </c>
      <c r="F986" t="s">
        <v>12426</v>
      </c>
      <c r="G986" t="s">
        <v>74</v>
      </c>
      <c r="H986" t="s">
        <v>74</v>
      </c>
      <c r="I986" t="s">
        <v>12427</v>
      </c>
      <c r="J986" t="s">
        <v>12428</v>
      </c>
      <c r="K986" t="s">
        <v>74</v>
      </c>
      <c r="L986" t="s">
        <v>74</v>
      </c>
      <c r="M986" t="s">
        <v>77</v>
      </c>
      <c r="N986" t="s">
        <v>254</v>
      </c>
      <c r="O986" t="s">
        <v>74</v>
      </c>
      <c r="P986" t="s">
        <v>74</v>
      </c>
      <c r="Q986" t="s">
        <v>74</v>
      </c>
      <c r="R986" t="s">
        <v>74</v>
      </c>
      <c r="S986" t="s">
        <v>74</v>
      </c>
      <c r="T986" t="s">
        <v>12429</v>
      </c>
      <c r="U986" t="s">
        <v>12430</v>
      </c>
      <c r="V986" t="s">
        <v>12431</v>
      </c>
      <c r="W986" t="s">
        <v>12432</v>
      </c>
      <c r="X986" t="s">
        <v>6349</v>
      </c>
      <c r="Y986" t="s">
        <v>12433</v>
      </c>
      <c r="Z986" t="s">
        <v>12434</v>
      </c>
      <c r="AA986" t="s">
        <v>74</v>
      </c>
      <c r="AB986" t="s">
        <v>74</v>
      </c>
      <c r="AC986" t="s">
        <v>12435</v>
      </c>
      <c r="AD986" t="s">
        <v>12436</v>
      </c>
      <c r="AE986" t="s">
        <v>74</v>
      </c>
      <c r="AF986" t="s">
        <v>74</v>
      </c>
      <c r="AG986">
        <v>84</v>
      </c>
      <c r="AH986">
        <v>232</v>
      </c>
      <c r="AI986">
        <v>277</v>
      </c>
      <c r="AJ986">
        <v>4</v>
      </c>
      <c r="AK986">
        <v>90</v>
      </c>
      <c r="AL986" t="s">
        <v>12437</v>
      </c>
      <c r="AM986" t="s">
        <v>12438</v>
      </c>
      <c r="AN986" t="s">
        <v>12439</v>
      </c>
      <c r="AO986" t="s">
        <v>12440</v>
      </c>
      <c r="AP986" t="s">
        <v>12441</v>
      </c>
      <c r="AQ986" t="s">
        <v>74</v>
      </c>
      <c r="AR986" t="s">
        <v>12442</v>
      </c>
      <c r="AS986" t="s">
        <v>12443</v>
      </c>
      <c r="AT986" t="s">
        <v>74</v>
      </c>
      <c r="AU986">
        <v>1999</v>
      </c>
      <c r="AV986">
        <v>53</v>
      </c>
      <c r="AW986" t="s">
        <v>74</v>
      </c>
      <c r="AX986" t="s">
        <v>74</v>
      </c>
      <c r="AY986" t="s">
        <v>74</v>
      </c>
      <c r="AZ986" t="s">
        <v>74</v>
      </c>
      <c r="BA986" t="s">
        <v>74</v>
      </c>
      <c r="BB986">
        <v>189</v>
      </c>
      <c r="BC986">
        <v>215</v>
      </c>
      <c r="BD986" t="s">
        <v>74</v>
      </c>
      <c r="BE986" t="s">
        <v>12444</v>
      </c>
      <c r="BF986" t="str">
        <f>HYPERLINK("http://dx.doi.org/10.1146/annurev.micro.53.1.189","http://dx.doi.org/10.1146/annurev.micro.53.1.189")</f>
        <v>http://dx.doi.org/10.1146/annurev.micro.53.1.189</v>
      </c>
      <c r="BG986" t="s">
        <v>74</v>
      </c>
      <c r="BH986" t="s">
        <v>74</v>
      </c>
      <c r="BI986">
        <v>27</v>
      </c>
      <c r="BJ986" t="s">
        <v>2075</v>
      </c>
      <c r="BK986" t="s">
        <v>96</v>
      </c>
      <c r="BL986" t="s">
        <v>2075</v>
      </c>
      <c r="BM986" t="s">
        <v>12445</v>
      </c>
      <c r="BN986">
        <v>10547690</v>
      </c>
      <c r="BO986" t="s">
        <v>74</v>
      </c>
      <c r="BP986" t="s">
        <v>74</v>
      </c>
      <c r="BQ986" t="s">
        <v>74</v>
      </c>
      <c r="BR986" t="s">
        <v>99</v>
      </c>
      <c r="BS986" t="s">
        <v>12446</v>
      </c>
      <c r="BT986" t="str">
        <f>HYPERLINK("https%3A%2F%2Fwww.webofscience.com%2Fwos%2Fwoscc%2Ffull-record%2FWOS:000083208500007","View Full Record in Web of Science")</f>
        <v>View Full Record in Web of Science</v>
      </c>
    </row>
    <row r="987" spans="1:72" x14ac:dyDescent="0.15">
      <c r="A987" t="s">
        <v>1295</v>
      </c>
      <c r="B987" t="s">
        <v>12447</v>
      </c>
      <c r="C987" t="s">
        <v>74</v>
      </c>
      <c r="D987" t="s">
        <v>12448</v>
      </c>
      <c r="E987" t="s">
        <v>74</v>
      </c>
      <c r="F987" t="s">
        <v>12447</v>
      </c>
      <c r="G987" t="s">
        <v>74</v>
      </c>
      <c r="H987" t="s">
        <v>74</v>
      </c>
      <c r="I987" t="s">
        <v>12449</v>
      </c>
      <c r="J987" t="s">
        <v>12450</v>
      </c>
      <c r="K987" t="s">
        <v>12451</v>
      </c>
      <c r="L987" t="s">
        <v>74</v>
      </c>
      <c r="M987" t="s">
        <v>77</v>
      </c>
      <c r="N987" t="s">
        <v>123</v>
      </c>
      <c r="O987" t="s">
        <v>12452</v>
      </c>
      <c r="P987" t="s">
        <v>12453</v>
      </c>
      <c r="Q987" t="s">
        <v>12454</v>
      </c>
      <c r="R987" t="s">
        <v>74</v>
      </c>
      <c r="S987" t="s">
        <v>74</v>
      </c>
      <c r="T987" t="s">
        <v>74</v>
      </c>
      <c r="U987" t="s">
        <v>12455</v>
      </c>
      <c r="V987" t="s">
        <v>12456</v>
      </c>
      <c r="W987" t="s">
        <v>12457</v>
      </c>
      <c r="X987" t="s">
        <v>12458</v>
      </c>
      <c r="Y987" t="s">
        <v>12459</v>
      </c>
      <c r="Z987" t="s">
        <v>74</v>
      </c>
      <c r="AA987" t="s">
        <v>74</v>
      </c>
      <c r="AB987" t="s">
        <v>12460</v>
      </c>
      <c r="AC987" t="s">
        <v>74</v>
      </c>
      <c r="AD987" t="s">
        <v>74</v>
      </c>
      <c r="AE987" t="s">
        <v>74</v>
      </c>
      <c r="AF987" t="s">
        <v>74</v>
      </c>
      <c r="AG987">
        <v>8</v>
      </c>
      <c r="AH987">
        <v>4</v>
      </c>
      <c r="AI987">
        <v>4</v>
      </c>
      <c r="AJ987">
        <v>0</v>
      </c>
      <c r="AK987">
        <v>3</v>
      </c>
      <c r="AL987" t="s">
        <v>12461</v>
      </c>
      <c r="AM987" t="s">
        <v>276</v>
      </c>
      <c r="AN987" t="s">
        <v>12462</v>
      </c>
      <c r="AO987" t="s">
        <v>12463</v>
      </c>
      <c r="AP987" t="s">
        <v>74</v>
      </c>
      <c r="AQ987" t="s">
        <v>74</v>
      </c>
      <c r="AR987" t="s">
        <v>12464</v>
      </c>
      <c r="AS987" t="s">
        <v>74</v>
      </c>
      <c r="AT987" t="s">
        <v>74</v>
      </c>
      <c r="AU987">
        <v>1999</v>
      </c>
      <c r="AV987">
        <v>24</v>
      </c>
      <c r="AW987">
        <v>12</v>
      </c>
      <c r="AX987" t="s">
        <v>74</v>
      </c>
      <c r="AY987" t="s">
        <v>74</v>
      </c>
      <c r="AZ987" t="s">
        <v>74</v>
      </c>
      <c r="BA987" t="s">
        <v>74</v>
      </c>
      <c r="BB987">
        <v>1623</v>
      </c>
      <c r="BC987">
        <v>1626</v>
      </c>
      <c r="BD987" t="s">
        <v>74</v>
      </c>
      <c r="BE987" t="s">
        <v>12465</v>
      </c>
      <c r="BF987" t="str">
        <f>HYPERLINK("http://dx.doi.org/10.1016/S0273-1177(99)00325-7","http://dx.doi.org/10.1016/S0273-1177(99)00325-7")</f>
        <v>http://dx.doi.org/10.1016/S0273-1177(99)00325-7</v>
      </c>
      <c r="BG987" t="s">
        <v>74</v>
      </c>
      <c r="BH987" t="s">
        <v>74</v>
      </c>
      <c r="BI987">
        <v>4</v>
      </c>
      <c r="BJ987" t="s">
        <v>12466</v>
      </c>
      <c r="BK987" t="s">
        <v>143</v>
      </c>
      <c r="BL987" t="s">
        <v>12467</v>
      </c>
      <c r="BM987" t="s">
        <v>12468</v>
      </c>
      <c r="BN987" t="s">
        <v>74</v>
      </c>
      <c r="BO987" t="s">
        <v>74</v>
      </c>
      <c r="BP987" t="s">
        <v>74</v>
      </c>
      <c r="BQ987" t="s">
        <v>74</v>
      </c>
      <c r="BR987" t="s">
        <v>99</v>
      </c>
      <c r="BS987" t="s">
        <v>12469</v>
      </c>
      <c r="BT987" t="str">
        <f>HYPERLINK("https%3A%2F%2Fwww.webofscience.com%2Fwos%2Fwoscc%2Ffull-record%2FWOS:000084546100001","View Full Record in Web of Science")</f>
        <v>View Full Record in Web of Science</v>
      </c>
    </row>
    <row r="988" spans="1:72" x14ac:dyDescent="0.15">
      <c r="A988" t="s">
        <v>1295</v>
      </c>
      <c r="B988" t="s">
        <v>12470</v>
      </c>
      <c r="C988" t="s">
        <v>74</v>
      </c>
      <c r="D988" t="s">
        <v>12448</v>
      </c>
      <c r="E988" t="s">
        <v>74</v>
      </c>
      <c r="F988" t="s">
        <v>12470</v>
      </c>
      <c r="G988" t="s">
        <v>74</v>
      </c>
      <c r="H988" t="s">
        <v>74</v>
      </c>
      <c r="I988" t="s">
        <v>12471</v>
      </c>
      <c r="J988" t="s">
        <v>12450</v>
      </c>
      <c r="K988" t="s">
        <v>12451</v>
      </c>
      <c r="L988" t="s">
        <v>74</v>
      </c>
      <c r="M988" t="s">
        <v>77</v>
      </c>
      <c r="N988" t="s">
        <v>123</v>
      </c>
      <c r="O988" t="s">
        <v>12452</v>
      </c>
      <c r="P988" t="s">
        <v>12453</v>
      </c>
      <c r="Q988" t="s">
        <v>12454</v>
      </c>
      <c r="R988" t="s">
        <v>74</v>
      </c>
      <c r="S988" t="s">
        <v>74</v>
      </c>
      <c r="T988" t="s">
        <v>74</v>
      </c>
      <c r="U988" t="s">
        <v>74</v>
      </c>
      <c r="V988" t="s">
        <v>12472</v>
      </c>
      <c r="W988" t="s">
        <v>12473</v>
      </c>
      <c r="X988" t="s">
        <v>74</v>
      </c>
      <c r="Y988" t="s">
        <v>12474</v>
      </c>
      <c r="Z988" t="s">
        <v>74</v>
      </c>
      <c r="AA988" t="s">
        <v>74</v>
      </c>
      <c r="AB988" t="s">
        <v>74</v>
      </c>
      <c r="AC988" t="s">
        <v>74</v>
      </c>
      <c r="AD988" t="s">
        <v>74</v>
      </c>
      <c r="AE988" t="s">
        <v>74</v>
      </c>
      <c r="AF988" t="s">
        <v>74</v>
      </c>
      <c r="AG988">
        <v>11</v>
      </c>
      <c r="AH988">
        <v>4</v>
      </c>
      <c r="AI988">
        <v>4</v>
      </c>
      <c r="AJ988">
        <v>0</v>
      </c>
      <c r="AK988">
        <v>0</v>
      </c>
      <c r="AL988" t="s">
        <v>12461</v>
      </c>
      <c r="AM988" t="s">
        <v>276</v>
      </c>
      <c r="AN988" t="s">
        <v>12462</v>
      </c>
      <c r="AO988" t="s">
        <v>12463</v>
      </c>
      <c r="AP988" t="s">
        <v>74</v>
      </c>
      <c r="AQ988" t="s">
        <v>74</v>
      </c>
      <c r="AR988" t="s">
        <v>12464</v>
      </c>
      <c r="AS988" t="s">
        <v>74</v>
      </c>
      <c r="AT988" t="s">
        <v>74</v>
      </c>
      <c r="AU988">
        <v>1999</v>
      </c>
      <c r="AV988">
        <v>24</v>
      </c>
      <c r="AW988">
        <v>12</v>
      </c>
      <c r="AX988" t="s">
        <v>74</v>
      </c>
      <c r="AY988" t="s">
        <v>74</v>
      </c>
      <c r="AZ988" t="s">
        <v>74</v>
      </c>
      <c r="BA988" t="s">
        <v>74</v>
      </c>
      <c r="BB988">
        <v>1627</v>
      </c>
      <c r="BC988">
        <v>1630</v>
      </c>
      <c r="BD988" t="s">
        <v>74</v>
      </c>
      <c r="BE988" t="s">
        <v>12475</v>
      </c>
      <c r="BF988" t="str">
        <f>HYPERLINK("http://dx.doi.org/10.1016/S0273-1177(99)00327-0","http://dx.doi.org/10.1016/S0273-1177(99)00327-0")</f>
        <v>http://dx.doi.org/10.1016/S0273-1177(99)00327-0</v>
      </c>
      <c r="BG988" t="s">
        <v>74</v>
      </c>
      <c r="BH988" t="s">
        <v>74</v>
      </c>
      <c r="BI988">
        <v>4</v>
      </c>
      <c r="BJ988" t="s">
        <v>12466</v>
      </c>
      <c r="BK988" t="s">
        <v>143</v>
      </c>
      <c r="BL988" t="s">
        <v>12467</v>
      </c>
      <c r="BM988" t="s">
        <v>12468</v>
      </c>
      <c r="BN988" t="s">
        <v>74</v>
      </c>
      <c r="BO988" t="s">
        <v>74</v>
      </c>
      <c r="BP988" t="s">
        <v>74</v>
      </c>
      <c r="BQ988" t="s">
        <v>74</v>
      </c>
      <c r="BR988" t="s">
        <v>99</v>
      </c>
      <c r="BS988" t="s">
        <v>12476</v>
      </c>
      <c r="BT988" t="str">
        <f>HYPERLINK("https%3A%2F%2Fwww.webofscience.com%2Fwos%2Fwoscc%2Ffull-record%2FWOS:000084546100002","View Full Record in Web of Science")</f>
        <v>View Full Record in Web of Science</v>
      </c>
    </row>
    <row r="989" spans="1:72" x14ac:dyDescent="0.15">
      <c r="A989" t="s">
        <v>1295</v>
      </c>
      <c r="B989" t="s">
        <v>12477</v>
      </c>
      <c r="C989" t="s">
        <v>74</v>
      </c>
      <c r="D989" t="s">
        <v>12448</v>
      </c>
      <c r="E989" t="s">
        <v>74</v>
      </c>
      <c r="F989" t="s">
        <v>12477</v>
      </c>
      <c r="G989" t="s">
        <v>74</v>
      </c>
      <c r="H989" t="s">
        <v>74</v>
      </c>
      <c r="I989" t="s">
        <v>12478</v>
      </c>
      <c r="J989" t="s">
        <v>12450</v>
      </c>
      <c r="K989" t="s">
        <v>12451</v>
      </c>
      <c r="L989" t="s">
        <v>74</v>
      </c>
      <c r="M989" t="s">
        <v>77</v>
      </c>
      <c r="N989" t="s">
        <v>123</v>
      </c>
      <c r="O989" t="s">
        <v>12452</v>
      </c>
      <c r="P989" t="s">
        <v>12453</v>
      </c>
      <c r="Q989" t="s">
        <v>12454</v>
      </c>
      <c r="R989" t="s">
        <v>74</v>
      </c>
      <c r="S989" t="s">
        <v>74</v>
      </c>
      <c r="T989" t="s">
        <v>74</v>
      </c>
      <c r="U989" t="s">
        <v>12479</v>
      </c>
      <c r="V989" t="s">
        <v>12480</v>
      </c>
      <c r="W989" t="s">
        <v>12481</v>
      </c>
      <c r="X989" t="s">
        <v>12482</v>
      </c>
      <c r="Y989" t="s">
        <v>12483</v>
      </c>
      <c r="Z989" t="s">
        <v>74</v>
      </c>
      <c r="AA989" t="s">
        <v>12484</v>
      </c>
      <c r="AB989" t="s">
        <v>12485</v>
      </c>
      <c r="AC989" t="s">
        <v>74</v>
      </c>
      <c r="AD989" t="s">
        <v>74</v>
      </c>
      <c r="AE989" t="s">
        <v>74</v>
      </c>
      <c r="AF989" t="s">
        <v>74</v>
      </c>
      <c r="AG989">
        <v>18</v>
      </c>
      <c r="AH989">
        <v>2</v>
      </c>
      <c r="AI989">
        <v>2</v>
      </c>
      <c r="AJ989">
        <v>0</v>
      </c>
      <c r="AK989">
        <v>2</v>
      </c>
      <c r="AL989" t="s">
        <v>12461</v>
      </c>
      <c r="AM989" t="s">
        <v>276</v>
      </c>
      <c r="AN989" t="s">
        <v>12462</v>
      </c>
      <c r="AO989" t="s">
        <v>12463</v>
      </c>
      <c r="AP989" t="s">
        <v>74</v>
      </c>
      <c r="AQ989" t="s">
        <v>74</v>
      </c>
      <c r="AR989" t="s">
        <v>12464</v>
      </c>
      <c r="AS989" t="s">
        <v>74</v>
      </c>
      <c r="AT989" t="s">
        <v>74</v>
      </c>
      <c r="AU989">
        <v>1999</v>
      </c>
      <c r="AV989">
        <v>24</v>
      </c>
      <c r="AW989">
        <v>12</v>
      </c>
      <c r="AX989" t="s">
        <v>74</v>
      </c>
      <c r="AY989" t="s">
        <v>74</v>
      </c>
      <c r="AZ989" t="s">
        <v>74</v>
      </c>
      <c r="BA989" t="s">
        <v>74</v>
      </c>
      <c r="BB989">
        <v>1631</v>
      </c>
      <c r="BC989">
        <v>1636</v>
      </c>
      <c r="BD989" t="s">
        <v>74</v>
      </c>
      <c r="BE989" t="s">
        <v>12486</v>
      </c>
      <c r="BF989" t="str">
        <f>HYPERLINK("http://dx.doi.org/10.1016/S0273-1177(99)00326-9","http://dx.doi.org/10.1016/S0273-1177(99)00326-9")</f>
        <v>http://dx.doi.org/10.1016/S0273-1177(99)00326-9</v>
      </c>
      <c r="BG989" t="s">
        <v>74</v>
      </c>
      <c r="BH989" t="s">
        <v>74</v>
      </c>
      <c r="BI989">
        <v>6</v>
      </c>
      <c r="BJ989" t="s">
        <v>12466</v>
      </c>
      <c r="BK989" t="s">
        <v>143</v>
      </c>
      <c r="BL989" t="s">
        <v>12467</v>
      </c>
      <c r="BM989" t="s">
        <v>12468</v>
      </c>
      <c r="BN989" t="s">
        <v>74</v>
      </c>
      <c r="BO989" t="s">
        <v>74</v>
      </c>
      <c r="BP989" t="s">
        <v>74</v>
      </c>
      <c r="BQ989" t="s">
        <v>74</v>
      </c>
      <c r="BR989" t="s">
        <v>99</v>
      </c>
      <c r="BS989" t="s">
        <v>12487</v>
      </c>
      <c r="BT989" t="str">
        <f>HYPERLINK("https%3A%2F%2Fwww.webofscience.com%2Fwos%2Fwoscc%2Ffull-record%2FWOS:000084546100003","View Full Record in Web of Science")</f>
        <v>View Full Record in Web of Science</v>
      </c>
    </row>
    <row r="990" spans="1:72" x14ac:dyDescent="0.15">
      <c r="A990" t="s">
        <v>1295</v>
      </c>
      <c r="B990" t="s">
        <v>12488</v>
      </c>
      <c r="C990" t="s">
        <v>74</v>
      </c>
      <c r="D990" t="s">
        <v>12448</v>
      </c>
      <c r="E990" t="s">
        <v>74</v>
      </c>
      <c r="F990" t="s">
        <v>12488</v>
      </c>
      <c r="G990" t="s">
        <v>74</v>
      </c>
      <c r="H990" t="s">
        <v>74</v>
      </c>
      <c r="I990" t="s">
        <v>12489</v>
      </c>
      <c r="J990" t="s">
        <v>12450</v>
      </c>
      <c r="K990" t="s">
        <v>12451</v>
      </c>
      <c r="L990" t="s">
        <v>74</v>
      </c>
      <c r="M990" t="s">
        <v>77</v>
      </c>
      <c r="N990" t="s">
        <v>123</v>
      </c>
      <c r="O990" t="s">
        <v>12452</v>
      </c>
      <c r="P990" t="s">
        <v>12453</v>
      </c>
      <c r="Q990" t="s">
        <v>12454</v>
      </c>
      <c r="R990" t="s">
        <v>74</v>
      </c>
      <c r="S990" t="s">
        <v>74</v>
      </c>
      <c r="T990" t="s">
        <v>74</v>
      </c>
      <c r="U990" t="s">
        <v>74</v>
      </c>
      <c r="V990" t="s">
        <v>12490</v>
      </c>
      <c r="W990" t="s">
        <v>12491</v>
      </c>
      <c r="X990" t="s">
        <v>12492</v>
      </c>
      <c r="Y990" t="s">
        <v>12493</v>
      </c>
      <c r="Z990" t="s">
        <v>74</v>
      </c>
      <c r="AA990" t="s">
        <v>74</v>
      </c>
      <c r="AB990" t="s">
        <v>74</v>
      </c>
      <c r="AC990" t="s">
        <v>74</v>
      </c>
      <c r="AD990" t="s">
        <v>74</v>
      </c>
      <c r="AE990" t="s">
        <v>74</v>
      </c>
      <c r="AF990" t="s">
        <v>74</v>
      </c>
      <c r="AG990">
        <v>9</v>
      </c>
      <c r="AH990">
        <v>2</v>
      </c>
      <c r="AI990">
        <v>2</v>
      </c>
      <c r="AJ990">
        <v>0</v>
      </c>
      <c r="AK990">
        <v>2</v>
      </c>
      <c r="AL990" t="s">
        <v>12461</v>
      </c>
      <c r="AM990" t="s">
        <v>276</v>
      </c>
      <c r="AN990" t="s">
        <v>12462</v>
      </c>
      <c r="AO990" t="s">
        <v>12463</v>
      </c>
      <c r="AP990" t="s">
        <v>74</v>
      </c>
      <c r="AQ990" t="s">
        <v>74</v>
      </c>
      <c r="AR990" t="s">
        <v>12464</v>
      </c>
      <c r="AS990" t="s">
        <v>74</v>
      </c>
      <c r="AT990" t="s">
        <v>74</v>
      </c>
      <c r="AU990">
        <v>1999</v>
      </c>
      <c r="AV990">
        <v>24</v>
      </c>
      <c r="AW990">
        <v>12</v>
      </c>
      <c r="AX990" t="s">
        <v>74</v>
      </c>
      <c r="AY990" t="s">
        <v>74</v>
      </c>
      <c r="AZ990" t="s">
        <v>74</v>
      </c>
      <c r="BA990" t="s">
        <v>74</v>
      </c>
      <c r="BB990">
        <v>1637</v>
      </c>
      <c r="BC990">
        <v>1640</v>
      </c>
      <c r="BD990" t="s">
        <v>74</v>
      </c>
      <c r="BE990" t="s">
        <v>12494</v>
      </c>
      <c r="BF990" t="str">
        <f>HYPERLINK("http://dx.doi.org/10.1016/S0273-1177(99)00328-2","http://dx.doi.org/10.1016/S0273-1177(99)00328-2")</f>
        <v>http://dx.doi.org/10.1016/S0273-1177(99)00328-2</v>
      </c>
      <c r="BG990" t="s">
        <v>74</v>
      </c>
      <c r="BH990" t="s">
        <v>74</v>
      </c>
      <c r="BI990">
        <v>4</v>
      </c>
      <c r="BJ990" t="s">
        <v>12466</v>
      </c>
      <c r="BK990" t="s">
        <v>143</v>
      </c>
      <c r="BL990" t="s">
        <v>12467</v>
      </c>
      <c r="BM990" t="s">
        <v>12468</v>
      </c>
      <c r="BN990" t="s">
        <v>74</v>
      </c>
      <c r="BO990" t="s">
        <v>74</v>
      </c>
      <c r="BP990" t="s">
        <v>74</v>
      </c>
      <c r="BQ990" t="s">
        <v>74</v>
      </c>
      <c r="BR990" t="s">
        <v>99</v>
      </c>
      <c r="BS990" t="s">
        <v>12495</v>
      </c>
      <c r="BT990" t="str">
        <f>HYPERLINK("https%3A%2F%2Fwww.webofscience.com%2Fwos%2Fwoscc%2Ffull-record%2FWOS:000084546100004","View Full Record in Web of Science")</f>
        <v>View Full Record in Web of Science</v>
      </c>
    </row>
    <row r="991" spans="1:72" x14ac:dyDescent="0.15">
      <c r="A991" t="s">
        <v>1295</v>
      </c>
      <c r="B991" t="s">
        <v>12448</v>
      </c>
      <c r="C991" t="s">
        <v>74</v>
      </c>
      <c r="D991" t="s">
        <v>12448</v>
      </c>
      <c r="E991" t="s">
        <v>74</v>
      </c>
      <c r="F991" t="s">
        <v>12448</v>
      </c>
      <c r="G991" t="s">
        <v>74</v>
      </c>
      <c r="H991" t="s">
        <v>74</v>
      </c>
      <c r="I991" t="s">
        <v>12496</v>
      </c>
      <c r="J991" t="s">
        <v>12450</v>
      </c>
      <c r="K991" t="s">
        <v>12451</v>
      </c>
      <c r="L991" t="s">
        <v>74</v>
      </c>
      <c r="M991" t="s">
        <v>77</v>
      </c>
      <c r="N991" t="s">
        <v>123</v>
      </c>
      <c r="O991" t="s">
        <v>12452</v>
      </c>
      <c r="P991" t="s">
        <v>12453</v>
      </c>
      <c r="Q991" t="s">
        <v>12454</v>
      </c>
      <c r="R991" t="s">
        <v>74</v>
      </c>
      <c r="S991" t="s">
        <v>74</v>
      </c>
      <c r="T991" t="s">
        <v>74</v>
      </c>
      <c r="U991" t="s">
        <v>12497</v>
      </c>
      <c r="V991" t="s">
        <v>12498</v>
      </c>
      <c r="W991" t="s">
        <v>12499</v>
      </c>
      <c r="X991" t="s">
        <v>12500</v>
      </c>
      <c r="Y991" t="s">
        <v>12501</v>
      </c>
      <c r="Z991" t="s">
        <v>74</v>
      </c>
      <c r="AA991" t="s">
        <v>74</v>
      </c>
      <c r="AB991" t="s">
        <v>74</v>
      </c>
      <c r="AC991" t="s">
        <v>74</v>
      </c>
      <c r="AD991" t="s">
        <v>74</v>
      </c>
      <c r="AE991" t="s">
        <v>74</v>
      </c>
      <c r="AF991" t="s">
        <v>74</v>
      </c>
      <c r="AG991">
        <v>29</v>
      </c>
      <c r="AH991">
        <v>0</v>
      </c>
      <c r="AI991">
        <v>0</v>
      </c>
      <c r="AJ991">
        <v>0</v>
      </c>
      <c r="AK991">
        <v>0</v>
      </c>
      <c r="AL991" t="s">
        <v>12461</v>
      </c>
      <c r="AM991" t="s">
        <v>276</v>
      </c>
      <c r="AN991" t="s">
        <v>12462</v>
      </c>
      <c r="AO991" t="s">
        <v>12463</v>
      </c>
      <c r="AP991" t="s">
        <v>74</v>
      </c>
      <c r="AQ991" t="s">
        <v>74</v>
      </c>
      <c r="AR991" t="s">
        <v>12464</v>
      </c>
      <c r="AS991" t="s">
        <v>74</v>
      </c>
      <c r="AT991" t="s">
        <v>74</v>
      </c>
      <c r="AU991">
        <v>1999</v>
      </c>
      <c r="AV991">
        <v>24</v>
      </c>
      <c r="AW991">
        <v>12</v>
      </c>
      <c r="AX991" t="s">
        <v>74</v>
      </c>
      <c r="AY991" t="s">
        <v>74</v>
      </c>
      <c r="AZ991" t="s">
        <v>74</v>
      </c>
      <c r="BA991" t="s">
        <v>74</v>
      </c>
      <c r="BB991">
        <v>1641</v>
      </c>
      <c r="BC991">
        <v>1644</v>
      </c>
      <c r="BD991" t="s">
        <v>74</v>
      </c>
      <c r="BE991" t="s">
        <v>12502</v>
      </c>
      <c r="BF991" t="str">
        <f>HYPERLINK("http://dx.doi.org/10.1016/S0273-1177(99)00331-2","http://dx.doi.org/10.1016/S0273-1177(99)00331-2")</f>
        <v>http://dx.doi.org/10.1016/S0273-1177(99)00331-2</v>
      </c>
      <c r="BG991" t="s">
        <v>74</v>
      </c>
      <c r="BH991" t="s">
        <v>74</v>
      </c>
      <c r="BI991">
        <v>4</v>
      </c>
      <c r="BJ991" t="s">
        <v>12466</v>
      </c>
      <c r="BK991" t="s">
        <v>143</v>
      </c>
      <c r="BL991" t="s">
        <v>12467</v>
      </c>
      <c r="BM991" t="s">
        <v>12468</v>
      </c>
      <c r="BN991" t="s">
        <v>74</v>
      </c>
      <c r="BO991" t="s">
        <v>74</v>
      </c>
      <c r="BP991" t="s">
        <v>74</v>
      </c>
      <c r="BQ991" t="s">
        <v>74</v>
      </c>
      <c r="BR991" t="s">
        <v>99</v>
      </c>
      <c r="BS991" t="s">
        <v>12503</v>
      </c>
      <c r="BT991" t="str">
        <f>HYPERLINK("https%3A%2F%2Fwww.webofscience.com%2Fwos%2Fwoscc%2Ffull-record%2FWOS:000084546100005","View Full Record in Web of Science")</f>
        <v>View Full Record in Web of Science</v>
      </c>
    </row>
    <row r="992" spans="1:72" x14ac:dyDescent="0.15">
      <c r="A992" t="s">
        <v>1295</v>
      </c>
      <c r="B992" t="s">
        <v>12504</v>
      </c>
      <c r="C992" t="s">
        <v>74</v>
      </c>
      <c r="D992" t="s">
        <v>12448</v>
      </c>
      <c r="E992" t="s">
        <v>74</v>
      </c>
      <c r="F992" t="s">
        <v>12504</v>
      </c>
      <c r="G992" t="s">
        <v>74</v>
      </c>
      <c r="H992" t="s">
        <v>74</v>
      </c>
      <c r="I992" t="s">
        <v>12505</v>
      </c>
      <c r="J992" t="s">
        <v>12450</v>
      </c>
      <c r="K992" t="s">
        <v>12451</v>
      </c>
      <c r="L992" t="s">
        <v>74</v>
      </c>
      <c r="M992" t="s">
        <v>77</v>
      </c>
      <c r="N992" t="s">
        <v>123</v>
      </c>
      <c r="O992" t="s">
        <v>12452</v>
      </c>
      <c r="P992" t="s">
        <v>12453</v>
      </c>
      <c r="Q992" t="s">
        <v>12454</v>
      </c>
      <c r="R992" t="s">
        <v>74</v>
      </c>
      <c r="S992" t="s">
        <v>74</v>
      </c>
      <c r="T992" t="s">
        <v>74</v>
      </c>
      <c r="U992" t="s">
        <v>12506</v>
      </c>
      <c r="V992" t="s">
        <v>12507</v>
      </c>
      <c r="W992" t="s">
        <v>12508</v>
      </c>
      <c r="X992" t="s">
        <v>12509</v>
      </c>
      <c r="Y992" t="s">
        <v>12510</v>
      </c>
      <c r="Z992" t="s">
        <v>74</v>
      </c>
      <c r="AA992" t="s">
        <v>74</v>
      </c>
      <c r="AB992" t="s">
        <v>74</v>
      </c>
      <c r="AC992" t="s">
        <v>74</v>
      </c>
      <c r="AD992" t="s">
        <v>74</v>
      </c>
      <c r="AE992" t="s">
        <v>74</v>
      </c>
      <c r="AF992" t="s">
        <v>74</v>
      </c>
      <c r="AG992">
        <v>21</v>
      </c>
      <c r="AH992">
        <v>12</v>
      </c>
      <c r="AI992">
        <v>12</v>
      </c>
      <c r="AJ992">
        <v>1</v>
      </c>
      <c r="AK992">
        <v>1</v>
      </c>
      <c r="AL992" t="s">
        <v>12461</v>
      </c>
      <c r="AM992" t="s">
        <v>276</v>
      </c>
      <c r="AN992" t="s">
        <v>12462</v>
      </c>
      <c r="AO992" t="s">
        <v>12463</v>
      </c>
      <c r="AP992" t="s">
        <v>74</v>
      </c>
      <c r="AQ992" t="s">
        <v>74</v>
      </c>
      <c r="AR992" t="s">
        <v>12464</v>
      </c>
      <c r="AS992" t="s">
        <v>74</v>
      </c>
      <c r="AT992" t="s">
        <v>74</v>
      </c>
      <c r="AU992">
        <v>1999</v>
      </c>
      <c r="AV992">
        <v>24</v>
      </c>
      <c r="AW992">
        <v>12</v>
      </c>
      <c r="AX992" t="s">
        <v>74</v>
      </c>
      <c r="AY992" t="s">
        <v>74</v>
      </c>
      <c r="AZ992" t="s">
        <v>74</v>
      </c>
      <c r="BA992" t="s">
        <v>74</v>
      </c>
      <c r="BB992">
        <v>1645</v>
      </c>
      <c r="BC992">
        <v>1654</v>
      </c>
      <c r="BD992" t="s">
        <v>74</v>
      </c>
      <c r="BE992" t="s">
        <v>12511</v>
      </c>
      <c r="BF992" t="str">
        <f>HYPERLINK("http://dx.doi.org/10.1016/S0273-1177(99)00332-4","http://dx.doi.org/10.1016/S0273-1177(99)00332-4")</f>
        <v>http://dx.doi.org/10.1016/S0273-1177(99)00332-4</v>
      </c>
      <c r="BG992" t="s">
        <v>74</v>
      </c>
      <c r="BH992" t="s">
        <v>74</v>
      </c>
      <c r="BI992">
        <v>10</v>
      </c>
      <c r="BJ992" t="s">
        <v>12466</v>
      </c>
      <c r="BK992" t="s">
        <v>143</v>
      </c>
      <c r="BL992" t="s">
        <v>12467</v>
      </c>
      <c r="BM992" t="s">
        <v>12468</v>
      </c>
      <c r="BN992" t="s">
        <v>74</v>
      </c>
      <c r="BO992" t="s">
        <v>74</v>
      </c>
      <c r="BP992" t="s">
        <v>74</v>
      </c>
      <c r="BQ992" t="s">
        <v>74</v>
      </c>
      <c r="BR992" t="s">
        <v>99</v>
      </c>
      <c r="BS992" t="s">
        <v>12512</v>
      </c>
      <c r="BT992" t="str">
        <f>HYPERLINK("https%3A%2F%2Fwww.webofscience.com%2Fwos%2Fwoscc%2Ffull-record%2FWOS:000084546100006","View Full Record in Web of Science")</f>
        <v>View Full Record in Web of Science</v>
      </c>
    </row>
    <row r="993" spans="1:72" x14ac:dyDescent="0.15">
      <c r="A993" t="s">
        <v>1295</v>
      </c>
      <c r="B993" t="s">
        <v>12513</v>
      </c>
      <c r="C993" t="s">
        <v>74</v>
      </c>
      <c r="D993" t="s">
        <v>12448</v>
      </c>
      <c r="E993" t="s">
        <v>74</v>
      </c>
      <c r="F993" t="s">
        <v>12513</v>
      </c>
      <c r="G993" t="s">
        <v>74</v>
      </c>
      <c r="H993" t="s">
        <v>74</v>
      </c>
      <c r="I993" t="s">
        <v>12514</v>
      </c>
      <c r="J993" t="s">
        <v>12450</v>
      </c>
      <c r="K993" t="s">
        <v>12451</v>
      </c>
      <c r="L993" t="s">
        <v>74</v>
      </c>
      <c r="M993" t="s">
        <v>77</v>
      </c>
      <c r="N993" t="s">
        <v>123</v>
      </c>
      <c r="O993" t="s">
        <v>12452</v>
      </c>
      <c r="P993" t="s">
        <v>12453</v>
      </c>
      <c r="Q993" t="s">
        <v>12454</v>
      </c>
      <c r="R993" t="s">
        <v>74</v>
      </c>
      <c r="S993" t="s">
        <v>74</v>
      </c>
      <c r="T993" t="s">
        <v>74</v>
      </c>
      <c r="U993" t="s">
        <v>74</v>
      </c>
      <c r="V993" t="s">
        <v>12515</v>
      </c>
      <c r="W993" t="s">
        <v>12516</v>
      </c>
      <c r="X993" t="s">
        <v>74</v>
      </c>
      <c r="Y993" t="s">
        <v>12517</v>
      </c>
      <c r="Z993" t="s">
        <v>74</v>
      </c>
      <c r="AA993" t="s">
        <v>12518</v>
      </c>
      <c r="AB993" t="s">
        <v>12519</v>
      </c>
      <c r="AC993" t="s">
        <v>74</v>
      </c>
      <c r="AD993" t="s">
        <v>74</v>
      </c>
      <c r="AE993" t="s">
        <v>74</v>
      </c>
      <c r="AF993" t="s">
        <v>74</v>
      </c>
      <c r="AG993">
        <v>11</v>
      </c>
      <c r="AH993">
        <v>5</v>
      </c>
      <c r="AI993">
        <v>5</v>
      </c>
      <c r="AJ993">
        <v>0</v>
      </c>
      <c r="AK993">
        <v>0</v>
      </c>
      <c r="AL993" t="s">
        <v>12461</v>
      </c>
      <c r="AM993" t="s">
        <v>276</v>
      </c>
      <c r="AN993" t="s">
        <v>12462</v>
      </c>
      <c r="AO993" t="s">
        <v>12463</v>
      </c>
      <c r="AP993" t="s">
        <v>74</v>
      </c>
      <c r="AQ993" t="s">
        <v>74</v>
      </c>
      <c r="AR993" t="s">
        <v>12464</v>
      </c>
      <c r="AS993" t="s">
        <v>74</v>
      </c>
      <c r="AT993" t="s">
        <v>74</v>
      </c>
      <c r="AU993">
        <v>1999</v>
      </c>
      <c r="AV993">
        <v>24</v>
      </c>
      <c r="AW993">
        <v>12</v>
      </c>
      <c r="AX993" t="s">
        <v>74</v>
      </c>
      <c r="AY993" t="s">
        <v>74</v>
      </c>
      <c r="AZ993" t="s">
        <v>74</v>
      </c>
      <c r="BA993" t="s">
        <v>74</v>
      </c>
      <c r="BB993">
        <v>1655</v>
      </c>
      <c r="BC993">
        <v>1664</v>
      </c>
      <c r="BD993" t="s">
        <v>74</v>
      </c>
      <c r="BE993" t="s">
        <v>12520</v>
      </c>
      <c r="BF993" t="str">
        <f>HYPERLINK("http://dx.doi.org/10.1016/S0273-1177(99)00333-6","http://dx.doi.org/10.1016/S0273-1177(99)00333-6")</f>
        <v>http://dx.doi.org/10.1016/S0273-1177(99)00333-6</v>
      </c>
      <c r="BG993" t="s">
        <v>74</v>
      </c>
      <c r="BH993" t="s">
        <v>74</v>
      </c>
      <c r="BI993">
        <v>10</v>
      </c>
      <c r="BJ993" t="s">
        <v>12466</v>
      </c>
      <c r="BK993" t="s">
        <v>143</v>
      </c>
      <c r="BL993" t="s">
        <v>12467</v>
      </c>
      <c r="BM993" t="s">
        <v>12468</v>
      </c>
      <c r="BN993" t="s">
        <v>74</v>
      </c>
      <c r="BO993" t="s">
        <v>74</v>
      </c>
      <c r="BP993" t="s">
        <v>74</v>
      </c>
      <c r="BQ993" t="s">
        <v>74</v>
      </c>
      <c r="BR993" t="s">
        <v>99</v>
      </c>
      <c r="BS993" t="s">
        <v>12521</v>
      </c>
      <c r="BT993" t="str">
        <f>HYPERLINK("https%3A%2F%2Fwww.webofscience.com%2Fwos%2Fwoscc%2Ffull-record%2FWOS:000084546100007","View Full Record in Web of Science")</f>
        <v>View Full Record in Web of Science</v>
      </c>
    </row>
    <row r="994" spans="1:72" x14ac:dyDescent="0.15">
      <c r="A994" t="s">
        <v>1295</v>
      </c>
      <c r="B994" t="s">
        <v>12522</v>
      </c>
      <c r="C994" t="s">
        <v>74</v>
      </c>
      <c r="D994" t="s">
        <v>12448</v>
      </c>
      <c r="E994" t="s">
        <v>74</v>
      </c>
      <c r="F994" t="s">
        <v>12522</v>
      </c>
      <c r="G994" t="s">
        <v>74</v>
      </c>
      <c r="H994" t="s">
        <v>74</v>
      </c>
      <c r="I994" t="s">
        <v>12523</v>
      </c>
      <c r="J994" t="s">
        <v>12450</v>
      </c>
      <c r="K994" t="s">
        <v>12451</v>
      </c>
      <c r="L994" t="s">
        <v>74</v>
      </c>
      <c r="M994" t="s">
        <v>77</v>
      </c>
      <c r="N994" t="s">
        <v>123</v>
      </c>
      <c r="O994" t="s">
        <v>12452</v>
      </c>
      <c r="P994" t="s">
        <v>12453</v>
      </c>
      <c r="Q994" t="s">
        <v>12454</v>
      </c>
      <c r="R994" t="s">
        <v>74</v>
      </c>
      <c r="S994" t="s">
        <v>74</v>
      </c>
      <c r="T994" t="s">
        <v>74</v>
      </c>
      <c r="U994" t="s">
        <v>12524</v>
      </c>
      <c r="V994" t="s">
        <v>12525</v>
      </c>
      <c r="W994" t="s">
        <v>12526</v>
      </c>
      <c r="X994" t="s">
        <v>12527</v>
      </c>
      <c r="Y994" t="s">
        <v>12528</v>
      </c>
      <c r="Z994" t="s">
        <v>74</v>
      </c>
      <c r="AA994" t="s">
        <v>12529</v>
      </c>
      <c r="AB994" t="s">
        <v>74</v>
      </c>
      <c r="AC994" t="s">
        <v>74</v>
      </c>
      <c r="AD994" t="s">
        <v>74</v>
      </c>
      <c r="AE994" t="s">
        <v>74</v>
      </c>
      <c r="AF994" t="s">
        <v>74</v>
      </c>
      <c r="AG994">
        <v>10</v>
      </c>
      <c r="AH994">
        <v>1</v>
      </c>
      <c r="AI994">
        <v>1</v>
      </c>
      <c r="AJ994">
        <v>0</v>
      </c>
      <c r="AK994">
        <v>1</v>
      </c>
      <c r="AL994" t="s">
        <v>12461</v>
      </c>
      <c r="AM994" t="s">
        <v>276</v>
      </c>
      <c r="AN994" t="s">
        <v>12462</v>
      </c>
      <c r="AO994" t="s">
        <v>12463</v>
      </c>
      <c r="AP994" t="s">
        <v>74</v>
      </c>
      <c r="AQ994" t="s">
        <v>74</v>
      </c>
      <c r="AR994" t="s">
        <v>12464</v>
      </c>
      <c r="AS994" t="s">
        <v>74</v>
      </c>
      <c r="AT994" t="s">
        <v>74</v>
      </c>
      <c r="AU994">
        <v>1999</v>
      </c>
      <c r="AV994">
        <v>24</v>
      </c>
      <c r="AW994">
        <v>12</v>
      </c>
      <c r="AX994" t="s">
        <v>74</v>
      </c>
      <c r="AY994" t="s">
        <v>74</v>
      </c>
      <c r="AZ994" t="s">
        <v>74</v>
      </c>
      <c r="BA994" t="s">
        <v>74</v>
      </c>
      <c r="BB994">
        <v>1665</v>
      </c>
      <c r="BC994">
        <v>1668</v>
      </c>
      <c r="BD994" t="s">
        <v>74</v>
      </c>
      <c r="BE994" t="s">
        <v>12530</v>
      </c>
      <c r="BF994" t="str">
        <f>HYPERLINK("http://dx.doi.org/10.1016/S0273-1177(99)00334-8","http://dx.doi.org/10.1016/S0273-1177(99)00334-8")</f>
        <v>http://dx.doi.org/10.1016/S0273-1177(99)00334-8</v>
      </c>
      <c r="BG994" t="s">
        <v>74</v>
      </c>
      <c r="BH994" t="s">
        <v>74</v>
      </c>
      <c r="BI994">
        <v>4</v>
      </c>
      <c r="BJ994" t="s">
        <v>12466</v>
      </c>
      <c r="BK994" t="s">
        <v>143</v>
      </c>
      <c r="BL994" t="s">
        <v>12467</v>
      </c>
      <c r="BM994" t="s">
        <v>12468</v>
      </c>
      <c r="BN994" t="s">
        <v>74</v>
      </c>
      <c r="BO994" t="s">
        <v>74</v>
      </c>
      <c r="BP994" t="s">
        <v>74</v>
      </c>
      <c r="BQ994" t="s">
        <v>74</v>
      </c>
      <c r="BR994" t="s">
        <v>99</v>
      </c>
      <c r="BS994" t="s">
        <v>12531</v>
      </c>
      <c r="BT994" t="str">
        <f>HYPERLINK("https%3A%2F%2Fwww.webofscience.com%2Fwos%2Fwoscc%2Ffull-record%2FWOS:000084546100008","View Full Record in Web of Science")</f>
        <v>View Full Record in Web of Science</v>
      </c>
    </row>
    <row r="995" spans="1:72" x14ac:dyDescent="0.15">
      <c r="A995" t="s">
        <v>1295</v>
      </c>
      <c r="B995" t="s">
        <v>12532</v>
      </c>
      <c r="C995" t="s">
        <v>74</v>
      </c>
      <c r="D995" t="s">
        <v>12448</v>
      </c>
      <c r="E995" t="s">
        <v>74</v>
      </c>
      <c r="F995" t="s">
        <v>12532</v>
      </c>
      <c r="G995" t="s">
        <v>74</v>
      </c>
      <c r="H995" t="s">
        <v>74</v>
      </c>
      <c r="I995" t="s">
        <v>12533</v>
      </c>
      <c r="J995" t="s">
        <v>12450</v>
      </c>
      <c r="K995" t="s">
        <v>12451</v>
      </c>
      <c r="L995" t="s">
        <v>74</v>
      </c>
      <c r="M995" t="s">
        <v>77</v>
      </c>
      <c r="N995" t="s">
        <v>123</v>
      </c>
      <c r="O995" t="s">
        <v>12452</v>
      </c>
      <c r="P995" t="s">
        <v>12453</v>
      </c>
      <c r="Q995" t="s">
        <v>12454</v>
      </c>
      <c r="R995" t="s">
        <v>74</v>
      </c>
      <c r="S995" t="s">
        <v>74</v>
      </c>
      <c r="T995" t="s">
        <v>74</v>
      </c>
      <c r="U995" t="s">
        <v>74</v>
      </c>
      <c r="V995" t="s">
        <v>12534</v>
      </c>
      <c r="W995" t="s">
        <v>12535</v>
      </c>
      <c r="X995" t="s">
        <v>10567</v>
      </c>
      <c r="Y995" t="s">
        <v>12536</v>
      </c>
      <c r="Z995" t="s">
        <v>74</v>
      </c>
      <c r="AA995" t="s">
        <v>74</v>
      </c>
      <c r="AB995" t="s">
        <v>74</v>
      </c>
      <c r="AC995" t="s">
        <v>74</v>
      </c>
      <c r="AD995" t="s">
        <v>74</v>
      </c>
      <c r="AE995" t="s">
        <v>74</v>
      </c>
      <c r="AF995" t="s">
        <v>74</v>
      </c>
      <c r="AG995">
        <v>11</v>
      </c>
      <c r="AH995">
        <v>2</v>
      </c>
      <c r="AI995">
        <v>2</v>
      </c>
      <c r="AJ995">
        <v>0</v>
      </c>
      <c r="AK995">
        <v>1</v>
      </c>
      <c r="AL995" t="s">
        <v>12461</v>
      </c>
      <c r="AM995" t="s">
        <v>276</v>
      </c>
      <c r="AN995" t="s">
        <v>12462</v>
      </c>
      <c r="AO995" t="s">
        <v>12463</v>
      </c>
      <c r="AP995" t="s">
        <v>74</v>
      </c>
      <c r="AQ995" t="s">
        <v>74</v>
      </c>
      <c r="AR995" t="s">
        <v>12464</v>
      </c>
      <c r="AS995" t="s">
        <v>74</v>
      </c>
      <c r="AT995" t="s">
        <v>74</v>
      </c>
      <c r="AU995">
        <v>1999</v>
      </c>
      <c r="AV995">
        <v>24</v>
      </c>
      <c r="AW995">
        <v>12</v>
      </c>
      <c r="AX995" t="s">
        <v>74</v>
      </c>
      <c r="AY995" t="s">
        <v>74</v>
      </c>
      <c r="AZ995" t="s">
        <v>74</v>
      </c>
      <c r="BA995" t="s">
        <v>74</v>
      </c>
      <c r="BB995">
        <v>1669</v>
      </c>
      <c r="BC995">
        <v>1677</v>
      </c>
      <c r="BD995" t="s">
        <v>74</v>
      </c>
      <c r="BE995" t="s">
        <v>12537</v>
      </c>
      <c r="BF995" t="str">
        <f>HYPERLINK("http://dx.doi.org/10.1016/S0273-1177(99)00329-4","http://dx.doi.org/10.1016/S0273-1177(99)00329-4")</f>
        <v>http://dx.doi.org/10.1016/S0273-1177(99)00329-4</v>
      </c>
      <c r="BG995" t="s">
        <v>74</v>
      </c>
      <c r="BH995" t="s">
        <v>74</v>
      </c>
      <c r="BI995">
        <v>9</v>
      </c>
      <c r="BJ995" t="s">
        <v>12466</v>
      </c>
      <c r="BK995" t="s">
        <v>143</v>
      </c>
      <c r="BL995" t="s">
        <v>12467</v>
      </c>
      <c r="BM995" t="s">
        <v>12468</v>
      </c>
      <c r="BN995" t="s">
        <v>74</v>
      </c>
      <c r="BO995" t="s">
        <v>74</v>
      </c>
      <c r="BP995" t="s">
        <v>74</v>
      </c>
      <c r="BQ995" t="s">
        <v>74</v>
      </c>
      <c r="BR995" t="s">
        <v>99</v>
      </c>
      <c r="BS995" t="s">
        <v>12538</v>
      </c>
      <c r="BT995" t="str">
        <f>HYPERLINK("https%3A%2F%2Fwww.webofscience.com%2Fwos%2Fwoscc%2Ffull-record%2FWOS:000084546100009","View Full Record in Web of Science")</f>
        <v>View Full Record in Web of Science</v>
      </c>
    </row>
    <row r="996" spans="1:72" x14ac:dyDescent="0.15">
      <c r="A996" t="s">
        <v>1295</v>
      </c>
      <c r="B996" t="s">
        <v>12539</v>
      </c>
      <c r="C996" t="s">
        <v>74</v>
      </c>
      <c r="D996" t="s">
        <v>12448</v>
      </c>
      <c r="E996" t="s">
        <v>74</v>
      </c>
      <c r="F996" t="s">
        <v>12539</v>
      </c>
      <c r="G996" t="s">
        <v>74</v>
      </c>
      <c r="H996" t="s">
        <v>74</v>
      </c>
      <c r="I996" t="s">
        <v>12540</v>
      </c>
      <c r="J996" t="s">
        <v>12450</v>
      </c>
      <c r="K996" t="s">
        <v>12451</v>
      </c>
      <c r="L996" t="s">
        <v>74</v>
      </c>
      <c r="M996" t="s">
        <v>77</v>
      </c>
      <c r="N996" t="s">
        <v>123</v>
      </c>
      <c r="O996" t="s">
        <v>12452</v>
      </c>
      <c r="P996" t="s">
        <v>12453</v>
      </c>
      <c r="Q996" t="s">
        <v>12454</v>
      </c>
      <c r="R996" t="s">
        <v>74</v>
      </c>
      <c r="S996" t="s">
        <v>74</v>
      </c>
      <c r="T996" t="s">
        <v>74</v>
      </c>
      <c r="U996" t="s">
        <v>12541</v>
      </c>
      <c r="V996" t="s">
        <v>12542</v>
      </c>
      <c r="W996" t="s">
        <v>12543</v>
      </c>
      <c r="X996" t="s">
        <v>12544</v>
      </c>
      <c r="Y996" t="s">
        <v>12545</v>
      </c>
      <c r="Z996" t="s">
        <v>74</v>
      </c>
      <c r="AA996" t="s">
        <v>12546</v>
      </c>
      <c r="AB996" t="s">
        <v>12547</v>
      </c>
      <c r="AC996" t="s">
        <v>74</v>
      </c>
      <c r="AD996" t="s">
        <v>74</v>
      </c>
      <c r="AE996" t="s">
        <v>74</v>
      </c>
      <c r="AF996" t="s">
        <v>74</v>
      </c>
      <c r="AG996">
        <v>19</v>
      </c>
      <c r="AH996">
        <v>0</v>
      </c>
      <c r="AI996">
        <v>0</v>
      </c>
      <c r="AJ996">
        <v>0</v>
      </c>
      <c r="AK996">
        <v>0</v>
      </c>
      <c r="AL996" t="s">
        <v>12461</v>
      </c>
      <c r="AM996" t="s">
        <v>276</v>
      </c>
      <c r="AN996" t="s">
        <v>12462</v>
      </c>
      <c r="AO996" t="s">
        <v>12463</v>
      </c>
      <c r="AP996" t="s">
        <v>74</v>
      </c>
      <c r="AQ996" t="s">
        <v>74</v>
      </c>
      <c r="AR996" t="s">
        <v>12464</v>
      </c>
      <c r="AS996" t="s">
        <v>74</v>
      </c>
      <c r="AT996" t="s">
        <v>74</v>
      </c>
      <c r="AU996">
        <v>1999</v>
      </c>
      <c r="AV996">
        <v>24</v>
      </c>
      <c r="AW996">
        <v>12</v>
      </c>
      <c r="AX996" t="s">
        <v>74</v>
      </c>
      <c r="AY996" t="s">
        <v>74</v>
      </c>
      <c r="AZ996" t="s">
        <v>74</v>
      </c>
      <c r="BA996" t="s">
        <v>74</v>
      </c>
      <c r="BB996">
        <v>1679</v>
      </c>
      <c r="BC996">
        <v>1688</v>
      </c>
      <c r="BD996" t="s">
        <v>74</v>
      </c>
      <c r="BE996" t="s">
        <v>12548</v>
      </c>
      <c r="BF996" t="str">
        <f>HYPERLINK("http://dx.doi.org/10.1016/S0273-1177(99)00330-0","http://dx.doi.org/10.1016/S0273-1177(99)00330-0")</f>
        <v>http://dx.doi.org/10.1016/S0273-1177(99)00330-0</v>
      </c>
      <c r="BG996" t="s">
        <v>74</v>
      </c>
      <c r="BH996" t="s">
        <v>74</v>
      </c>
      <c r="BI996">
        <v>10</v>
      </c>
      <c r="BJ996" t="s">
        <v>12466</v>
      </c>
      <c r="BK996" t="s">
        <v>143</v>
      </c>
      <c r="BL996" t="s">
        <v>12467</v>
      </c>
      <c r="BM996" t="s">
        <v>12468</v>
      </c>
      <c r="BN996" t="s">
        <v>74</v>
      </c>
      <c r="BO996" t="s">
        <v>74</v>
      </c>
      <c r="BP996" t="s">
        <v>74</v>
      </c>
      <c r="BQ996" t="s">
        <v>74</v>
      </c>
      <c r="BR996" t="s">
        <v>99</v>
      </c>
      <c r="BS996" t="s">
        <v>12549</v>
      </c>
      <c r="BT996" t="str">
        <f>HYPERLINK("https%3A%2F%2Fwww.webofscience.com%2Fwos%2Fwoscc%2Ffull-record%2FWOS:000084546100010","View Full Record in Web of Science")</f>
        <v>View Full Record in Web of Science</v>
      </c>
    </row>
    <row r="997" spans="1:72" x14ac:dyDescent="0.15">
      <c r="A997" t="s">
        <v>1295</v>
      </c>
      <c r="B997" t="s">
        <v>12550</v>
      </c>
      <c r="C997" t="s">
        <v>74</v>
      </c>
      <c r="D997" t="s">
        <v>12448</v>
      </c>
      <c r="E997" t="s">
        <v>74</v>
      </c>
      <c r="F997" t="s">
        <v>12550</v>
      </c>
      <c r="G997" t="s">
        <v>74</v>
      </c>
      <c r="H997" t="s">
        <v>74</v>
      </c>
      <c r="I997" t="s">
        <v>12551</v>
      </c>
      <c r="J997" t="s">
        <v>12450</v>
      </c>
      <c r="K997" t="s">
        <v>12451</v>
      </c>
      <c r="L997" t="s">
        <v>74</v>
      </c>
      <c r="M997" t="s">
        <v>77</v>
      </c>
      <c r="N997" t="s">
        <v>123</v>
      </c>
      <c r="O997" t="s">
        <v>12452</v>
      </c>
      <c r="P997" t="s">
        <v>12453</v>
      </c>
      <c r="Q997" t="s">
        <v>12454</v>
      </c>
      <c r="R997" t="s">
        <v>74</v>
      </c>
      <c r="S997" t="s">
        <v>74</v>
      </c>
      <c r="T997" t="s">
        <v>74</v>
      </c>
      <c r="U997" t="s">
        <v>12552</v>
      </c>
      <c r="V997" t="s">
        <v>12553</v>
      </c>
      <c r="W997" t="s">
        <v>8715</v>
      </c>
      <c r="X997" t="s">
        <v>8716</v>
      </c>
      <c r="Y997" t="s">
        <v>12554</v>
      </c>
      <c r="Z997" t="s">
        <v>74</v>
      </c>
      <c r="AA997" t="s">
        <v>74</v>
      </c>
      <c r="AB997" t="s">
        <v>74</v>
      </c>
      <c r="AC997" t="s">
        <v>74</v>
      </c>
      <c r="AD997" t="s">
        <v>74</v>
      </c>
      <c r="AE997" t="s">
        <v>74</v>
      </c>
      <c r="AF997" t="s">
        <v>74</v>
      </c>
      <c r="AG997">
        <v>12</v>
      </c>
      <c r="AH997">
        <v>11</v>
      </c>
      <c r="AI997">
        <v>11</v>
      </c>
      <c r="AJ997">
        <v>0</v>
      </c>
      <c r="AK997">
        <v>0</v>
      </c>
      <c r="AL997" t="s">
        <v>12461</v>
      </c>
      <c r="AM997" t="s">
        <v>276</v>
      </c>
      <c r="AN997" t="s">
        <v>12462</v>
      </c>
      <c r="AO997" t="s">
        <v>12463</v>
      </c>
      <c r="AP997" t="s">
        <v>74</v>
      </c>
      <c r="AQ997" t="s">
        <v>74</v>
      </c>
      <c r="AR997" t="s">
        <v>12464</v>
      </c>
      <c r="AS997" t="s">
        <v>74</v>
      </c>
      <c r="AT997" t="s">
        <v>74</v>
      </c>
      <c r="AU997">
        <v>1999</v>
      </c>
      <c r="AV997">
        <v>24</v>
      </c>
      <c r="AW997">
        <v>12</v>
      </c>
      <c r="AX997" t="s">
        <v>74</v>
      </c>
      <c r="AY997" t="s">
        <v>74</v>
      </c>
      <c r="AZ997" t="s">
        <v>74</v>
      </c>
      <c r="BA997" t="s">
        <v>74</v>
      </c>
      <c r="BB997">
        <v>1689</v>
      </c>
      <c r="BC997">
        <v>1692</v>
      </c>
      <c r="BD997" t="s">
        <v>74</v>
      </c>
      <c r="BE997" t="s">
        <v>12555</v>
      </c>
      <c r="BF997" t="str">
        <f>HYPERLINK("http://dx.doi.org/10.1016/S0273-1177(99)00335-X","http://dx.doi.org/10.1016/S0273-1177(99)00335-X")</f>
        <v>http://dx.doi.org/10.1016/S0273-1177(99)00335-X</v>
      </c>
      <c r="BG997" t="s">
        <v>74</v>
      </c>
      <c r="BH997" t="s">
        <v>74</v>
      </c>
      <c r="BI997">
        <v>4</v>
      </c>
      <c r="BJ997" t="s">
        <v>12466</v>
      </c>
      <c r="BK997" t="s">
        <v>143</v>
      </c>
      <c r="BL997" t="s">
        <v>12467</v>
      </c>
      <c r="BM997" t="s">
        <v>12468</v>
      </c>
      <c r="BN997" t="s">
        <v>74</v>
      </c>
      <c r="BO997" t="s">
        <v>74</v>
      </c>
      <c r="BP997" t="s">
        <v>74</v>
      </c>
      <c r="BQ997" t="s">
        <v>74</v>
      </c>
      <c r="BR997" t="s">
        <v>99</v>
      </c>
      <c r="BS997" t="s">
        <v>12556</v>
      </c>
      <c r="BT997" t="str">
        <f>HYPERLINK("https%3A%2F%2Fwww.webofscience.com%2Fwos%2Fwoscc%2Ffull-record%2FWOS:000084546100011","View Full Record in Web of Science")</f>
        <v>View Full Record in Web of Science</v>
      </c>
    </row>
    <row r="998" spans="1:72" x14ac:dyDescent="0.15">
      <c r="A998" t="s">
        <v>72</v>
      </c>
      <c r="B998" t="s">
        <v>12557</v>
      </c>
      <c r="C998" t="s">
        <v>74</v>
      </c>
      <c r="D998" t="s">
        <v>74</v>
      </c>
      <c r="E998" t="s">
        <v>74</v>
      </c>
      <c r="F998" t="s">
        <v>12557</v>
      </c>
      <c r="G998" t="s">
        <v>74</v>
      </c>
      <c r="H998" t="s">
        <v>74</v>
      </c>
      <c r="I998" t="s">
        <v>12558</v>
      </c>
      <c r="J998" t="s">
        <v>12559</v>
      </c>
      <c r="K998" t="s">
        <v>74</v>
      </c>
      <c r="L998" t="s">
        <v>74</v>
      </c>
      <c r="M998" t="s">
        <v>77</v>
      </c>
      <c r="N998" t="s">
        <v>78</v>
      </c>
      <c r="O998" t="s">
        <v>74</v>
      </c>
      <c r="P998" t="s">
        <v>74</v>
      </c>
      <c r="Q998" t="s">
        <v>74</v>
      </c>
      <c r="R998" t="s">
        <v>74</v>
      </c>
      <c r="S998" t="s">
        <v>74</v>
      </c>
      <c r="T998" t="s">
        <v>12560</v>
      </c>
      <c r="U998" t="s">
        <v>12561</v>
      </c>
      <c r="V998" t="s">
        <v>12562</v>
      </c>
      <c r="W998" t="s">
        <v>12563</v>
      </c>
      <c r="X998" t="s">
        <v>12564</v>
      </c>
      <c r="Y998" t="s">
        <v>12565</v>
      </c>
      <c r="Z998" t="s">
        <v>74</v>
      </c>
      <c r="AA998" t="s">
        <v>12566</v>
      </c>
      <c r="AB998" t="s">
        <v>12567</v>
      </c>
      <c r="AC998" t="s">
        <v>74</v>
      </c>
      <c r="AD998" t="s">
        <v>74</v>
      </c>
      <c r="AE998" t="s">
        <v>74</v>
      </c>
      <c r="AF998" t="s">
        <v>74</v>
      </c>
      <c r="AG998">
        <v>30</v>
      </c>
      <c r="AH998">
        <v>48</v>
      </c>
      <c r="AI998">
        <v>51</v>
      </c>
      <c r="AJ998">
        <v>0</v>
      </c>
      <c r="AK998">
        <v>12</v>
      </c>
      <c r="AL998" t="s">
        <v>210</v>
      </c>
      <c r="AM998" t="s">
        <v>211</v>
      </c>
      <c r="AN998" t="s">
        <v>212</v>
      </c>
      <c r="AO998" t="s">
        <v>12568</v>
      </c>
      <c r="AP998" t="s">
        <v>74</v>
      </c>
      <c r="AQ998" t="s">
        <v>74</v>
      </c>
      <c r="AR998" t="s">
        <v>12569</v>
      </c>
      <c r="AS998" t="s">
        <v>12570</v>
      </c>
      <c r="AT998" t="s">
        <v>12571</v>
      </c>
      <c r="AU998">
        <v>1999</v>
      </c>
      <c r="AV998">
        <v>44</v>
      </c>
      <c r="AW998">
        <v>3</v>
      </c>
      <c r="AX998" t="s">
        <v>74</v>
      </c>
      <c r="AY998" t="s">
        <v>74</v>
      </c>
      <c r="AZ998" t="s">
        <v>74</v>
      </c>
      <c r="BA998" t="s">
        <v>74</v>
      </c>
      <c r="BB998">
        <v>183</v>
      </c>
      <c r="BC998">
        <v>193</v>
      </c>
      <c r="BD998" t="s">
        <v>74</v>
      </c>
      <c r="BE998" t="s">
        <v>74</v>
      </c>
      <c r="BF998" t="s">
        <v>74</v>
      </c>
      <c r="BG998" t="s">
        <v>74</v>
      </c>
      <c r="BH998" t="s">
        <v>74</v>
      </c>
      <c r="BI998">
        <v>11</v>
      </c>
      <c r="BJ998" t="s">
        <v>12572</v>
      </c>
      <c r="BK998" t="s">
        <v>96</v>
      </c>
      <c r="BL998" t="s">
        <v>12572</v>
      </c>
      <c r="BM998" t="s">
        <v>12573</v>
      </c>
      <c r="BN998" t="s">
        <v>74</v>
      </c>
      <c r="BO998" t="s">
        <v>74</v>
      </c>
      <c r="BP998" t="s">
        <v>74</v>
      </c>
      <c r="BQ998" t="s">
        <v>74</v>
      </c>
      <c r="BR998" t="s">
        <v>99</v>
      </c>
      <c r="BS998" t="s">
        <v>12574</v>
      </c>
      <c r="BT998" t="str">
        <f>HYPERLINK("https%3A%2F%2Fwww.webofscience.com%2Fwos%2Fwoscc%2Ffull-record%2FWOS:000077899400003","View Full Record in Web of Science")</f>
        <v>View Full Record in Web of Science</v>
      </c>
    </row>
    <row r="999" spans="1:72" x14ac:dyDescent="0.15">
      <c r="A999" t="s">
        <v>72</v>
      </c>
      <c r="B999" t="s">
        <v>12575</v>
      </c>
      <c r="C999" t="s">
        <v>74</v>
      </c>
      <c r="D999" t="s">
        <v>74</v>
      </c>
      <c r="E999" t="s">
        <v>74</v>
      </c>
      <c r="F999" t="s">
        <v>12575</v>
      </c>
      <c r="G999" t="s">
        <v>74</v>
      </c>
      <c r="H999" t="s">
        <v>74</v>
      </c>
      <c r="I999" t="s">
        <v>12576</v>
      </c>
      <c r="J999" t="s">
        <v>12577</v>
      </c>
      <c r="K999" t="s">
        <v>74</v>
      </c>
      <c r="L999" t="s">
        <v>74</v>
      </c>
      <c r="M999" t="s">
        <v>77</v>
      </c>
      <c r="N999" t="s">
        <v>78</v>
      </c>
      <c r="O999" t="s">
        <v>74</v>
      </c>
      <c r="P999" t="s">
        <v>74</v>
      </c>
      <c r="Q999" t="s">
        <v>74</v>
      </c>
      <c r="R999" t="s">
        <v>74</v>
      </c>
      <c r="S999" t="s">
        <v>74</v>
      </c>
      <c r="T999" t="s">
        <v>12578</v>
      </c>
      <c r="U999" t="s">
        <v>12579</v>
      </c>
      <c r="V999" t="s">
        <v>12580</v>
      </c>
      <c r="W999" t="s">
        <v>12581</v>
      </c>
      <c r="X999" t="s">
        <v>6349</v>
      </c>
      <c r="Y999" t="s">
        <v>12582</v>
      </c>
      <c r="Z999" t="s">
        <v>74</v>
      </c>
      <c r="AA999" t="s">
        <v>74</v>
      </c>
      <c r="AB999" t="s">
        <v>74</v>
      </c>
      <c r="AC999" t="s">
        <v>74</v>
      </c>
      <c r="AD999" t="s">
        <v>74</v>
      </c>
      <c r="AE999" t="s">
        <v>74</v>
      </c>
      <c r="AF999" t="s">
        <v>74</v>
      </c>
      <c r="AG999">
        <v>31</v>
      </c>
      <c r="AH999">
        <v>27</v>
      </c>
      <c r="AI999">
        <v>29</v>
      </c>
      <c r="AJ999">
        <v>0</v>
      </c>
      <c r="AK999">
        <v>9</v>
      </c>
      <c r="AL999" t="s">
        <v>12583</v>
      </c>
      <c r="AM999" t="s">
        <v>12584</v>
      </c>
      <c r="AN999" t="s">
        <v>12585</v>
      </c>
      <c r="AO999" t="s">
        <v>12586</v>
      </c>
      <c r="AP999" t="s">
        <v>74</v>
      </c>
      <c r="AQ999" t="s">
        <v>74</v>
      </c>
      <c r="AR999" t="s">
        <v>12577</v>
      </c>
      <c r="AS999" t="s">
        <v>12587</v>
      </c>
      <c r="AT999" t="s">
        <v>74</v>
      </c>
      <c r="AU999">
        <v>1999</v>
      </c>
      <c r="AV999">
        <v>87</v>
      </c>
      <c r="AW999">
        <v>1</v>
      </c>
      <c r="AX999" t="s">
        <v>74</v>
      </c>
      <c r="AY999" t="s">
        <v>74</v>
      </c>
      <c r="AZ999" t="s">
        <v>74</v>
      </c>
      <c r="BA999" t="s">
        <v>74</v>
      </c>
      <c r="BB999">
        <v>41</v>
      </c>
      <c r="BC999">
        <v>50</v>
      </c>
      <c r="BD999" t="s">
        <v>74</v>
      </c>
      <c r="BE999" t="s">
        <v>74</v>
      </c>
      <c r="BF999" t="s">
        <v>74</v>
      </c>
      <c r="BG999" t="s">
        <v>74</v>
      </c>
      <c r="BH999" t="s">
        <v>74</v>
      </c>
      <c r="BI999">
        <v>10</v>
      </c>
      <c r="BJ999" t="s">
        <v>2212</v>
      </c>
      <c r="BK999" t="s">
        <v>96</v>
      </c>
      <c r="BL999" t="s">
        <v>142</v>
      </c>
      <c r="BM999" t="s">
        <v>12588</v>
      </c>
      <c r="BN999" t="s">
        <v>74</v>
      </c>
      <c r="BO999" t="s">
        <v>74</v>
      </c>
      <c r="BP999" t="s">
        <v>74</v>
      </c>
      <c r="BQ999" t="s">
        <v>74</v>
      </c>
      <c r="BR999" t="s">
        <v>99</v>
      </c>
      <c r="BS999" t="s">
        <v>12589</v>
      </c>
      <c r="BT999" t="str">
        <f>HYPERLINK("https%3A%2F%2Fwww.webofscience.com%2Fwos%2Fwoscc%2Ffull-record%2FWOS:000083232300004","View Full Record in Web of Science")</f>
        <v>View Full Record in Web of Science</v>
      </c>
    </row>
    <row r="1000" spans="1:72" x14ac:dyDescent="0.15">
      <c r="A1000" t="s">
        <v>72</v>
      </c>
      <c r="B1000" t="s">
        <v>12590</v>
      </c>
      <c r="C1000" t="s">
        <v>74</v>
      </c>
      <c r="D1000" t="s">
        <v>74</v>
      </c>
      <c r="E1000" t="s">
        <v>74</v>
      </c>
      <c r="F1000" t="s">
        <v>12590</v>
      </c>
      <c r="G1000" t="s">
        <v>74</v>
      </c>
      <c r="H1000" t="s">
        <v>74</v>
      </c>
      <c r="I1000" t="s">
        <v>12591</v>
      </c>
      <c r="J1000" t="s">
        <v>12592</v>
      </c>
      <c r="K1000" t="s">
        <v>74</v>
      </c>
      <c r="L1000" t="s">
        <v>74</v>
      </c>
      <c r="M1000" t="s">
        <v>77</v>
      </c>
      <c r="N1000" t="s">
        <v>78</v>
      </c>
      <c r="O1000" t="s">
        <v>74</v>
      </c>
      <c r="P1000" t="s">
        <v>74</v>
      </c>
      <c r="Q1000" t="s">
        <v>74</v>
      </c>
      <c r="R1000" t="s">
        <v>74</v>
      </c>
      <c r="S1000" t="s">
        <v>74</v>
      </c>
      <c r="T1000" t="s">
        <v>12593</v>
      </c>
      <c r="U1000" t="s">
        <v>12594</v>
      </c>
      <c r="V1000" t="s">
        <v>12595</v>
      </c>
      <c r="W1000" t="s">
        <v>12596</v>
      </c>
      <c r="X1000" t="s">
        <v>12597</v>
      </c>
      <c r="Y1000" t="s">
        <v>12598</v>
      </c>
      <c r="Z1000" t="s">
        <v>74</v>
      </c>
      <c r="AA1000" t="s">
        <v>74</v>
      </c>
      <c r="AB1000" t="s">
        <v>12599</v>
      </c>
      <c r="AC1000" t="s">
        <v>74</v>
      </c>
      <c r="AD1000" t="s">
        <v>74</v>
      </c>
      <c r="AE1000" t="s">
        <v>74</v>
      </c>
      <c r="AF1000" t="s">
        <v>74</v>
      </c>
      <c r="AG1000">
        <v>34</v>
      </c>
      <c r="AH1000">
        <v>98</v>
      </c>
      <c r="AI1000">
        <v>105</v>
      </c>
      <c r="AJ1000">
        <v>0</v>
      </c>
      <c r="AK1000">
        <v>11</v>
      </c>
      <c r="AL1000" t="s">
        <v>12600</v>
      </c>
      <c r="AM1000" t="s">
        <v>12601</v>
      </c>
      <c r="AN1000" t="s">
        <v>12602</v>
      </c>
      <c r="AO1000" t="s">
        <v>12603</v>
      </c>
      <c r="AP1000" t="s">
        <v>74</v>
      </c>
      <c r="AQ1000" t="s">
        <v>74</v>
      </c>
      <c r="AR1000" t="s">
        <v>12604</v>
      </c>
      <c r="AS1000" t="s">
        <v>12605</v>
      </c>
      <c r="AT1000" t="s">
        <v>12571</v>
      </c>
      <c r="AU1000">
        <v>1999</v>
      </c>
      <c r="AV1000">
        <v>134</v>
      </c>
      <c r="AW1000">
        <v>1</v>
      </c>
      <c r="AX1000" t="s">
        <v>74</v>
      </c>
      <c r="AY1000" t="s">
        <v>74</v>
      </c>
      <c r="AZ1000" t="s">
        <v>74</v>
      </c>
      <c r="BA1000" t="s">
        <v>74</v>
      </c>
      <c r="BB1000">
        <v>161</v>
      </c>
      <c r="BC1000">
        <v>172</v>
      </c>
      <c r="BD1000" t="s">
        <v>74</v>
      </c>
      <c r="BE1000" t="s">
        <v>12606</v>
      </c>
      <c r="BF1000" t="str">
        <f>HYPERLINK("http://dx.doi.org/10.1051/aas:1999100","http://dx.doi.org/10.1051/aas:1999100")</f>
        <v>http://dx.doi.org/10.1051/aas:1999100</v>
      </c>
      <c r="BG1000" t="s">
        <v>74</v>
      </c>
      <c r="BH1000" t="s">
        <v>74</v>
      </c>
      <c r="BI1000">
        <v>12</v>
      </c>
      <c r="BJ1000" t="s">
        <v>1076</v>
      </c>
      <c r="BK1000" t="s">
        <v>96</v>
      </c>
      <c r="BL1000" t="s">
        <v>1076</v>
      </c>
      <c r="BM1000" t="s">
        <v>12607</v>
      </c>
      <c r="BN1000" t="s">
        <v>74</v>
      </c>
      <c r="BO1000" t="s">
        <v>200</v>
      </c>
      <c r="BP1000" t="s">
        <v>74</v>
      </c>
      <c r="BQ1000" t="s">
        <v>74</v>
      </c>
      <c r="BR1000" t="s">
        <v>99</v>
      </c>
      <c r="BS1000" t="s">
        <v>12608</v>
      </c>
      <c r="BT1000" t="str">
        <f>HYPERLINK("https%3A%2F%2Fwww.webofscience.com%2Fwos%2Fwoscc%2Ffull-record%2FWOS:000078330800014","View Full Record in Web of Science")</f>
        <v>View Full Record in Web of Science</v>
      </c>
    </row>
    <row r="1001" spans="1:72" x14ac:dyDescent="0.15">
      <c r="A1001" t="s">
        <v>72</v>
      </c>
      <c r="B1001" t="s">
        <v>12609</v>
      </c>
      <c r="C1001" t="s">
        <v>74</v>
      </c>
      <c r="D1001" t="s">
        <v>74</v>
      </c>
      <c r="E1001" t="s">
        <v>74</v>
      </c>
      <c r="F1001" t="s">
        <v>12609</v>
      </c>
      <c r="G1001" t="s">
        <v>74</v>
      </c>
      <c r="H1001" t="s">
        <v>74</v>
      </c>
      <c r="I1001" t="s">
        <v>12610</v>
      </c>
      <c r="J1001" t="s">
        <v>12611</v>
      </c>
      <c r="K1001" t="s">
        <v>74</v>
      </c>
      <c r="L1001" t="s">
        <v>74</v>
      </c>
      <c r="M1001" t="s">
        <v>77</v>
      </c>
      <c r="N1001" t="s">
        <v>78</v>
      </c>
      <c r="O1001" t="s">
        <v>74</v>
      </c>
      <c r="P1001" t="s">
        <v>74</v>
      </c>
      <c r="Q1001" t="s">
        <v>74</v>
      </c>
      <c r="R1001" t="s">
        <v>74</v>
      </c>
      <c r="S1001" t="s">
        <v>74</v>
      </c>
      <c r="T1001" t="s">
        <v>12612</v>
      </c>
      <c r="U1001" t="s">
        <v>12613</v>
      </c>
      <c r="V1001" t="s">
        <v>12614</v>
      </c>
      <c r="W1001" t="s">
        <v>12615</v>
      </c>
      <c r="X1001" t="s">
        <v>3495</v>
      </c>
      <c r="Y1001" t="s">
        <v>12616</v>
      </c>
      <c r="Z1001" t="s">
        <v>12617</v>
      </c>
      <c r="AA1001" t="s">
        <v>12618</v>
      </c>
      <c r="AB1001" t="s">
        <v>12619</v>
      </c>
      <c r="AC1001" t="s">
        <v>74</v>
      </c>
      <c r="AD1001" t="s">
        <v>74</v>
      </c>
      <c r="AE1001" t="s">
        <v>74</v>
      </c>
      <c r="AF1001" t="s">
        <v>74</v>
      </c>
      <c r="AG1001">
        <v>39</v>
      </c>
      <c r="AH1001">
        <v>120</v>
      </c>
      <c r="AI1001">
        <v>139</v>
      </c>
      <c r="AJ1001">
        <v>1</v>
      </c>
      <c r="AK1001">
        <v>41</v>
      </c>
      <c r="AL1001" t="s">
        <v>3212</v>
      </c>
      <c r="AM1001" t="s">
        <v>3213</v>
      </c>
      <c r="AN1001" t="s">
        <v>3214</v>
      </c>
      <c r="AO1001" t="s">
        <v>12620</v>
      </c>
      <c r="AP1001" t="s">
        <v>74</v>
      </c>
      <c r="AQ1001" t="s">
        <v>74</v>
      </c>
      <c r="AR1001" t="s">
        <v>12621</v>
      </c>
      <c r="AS1001" t="s">
        <v>12622</v>
      </c>
      <c r="AT1001" t="s">
        <v>74</v>
      </c>
      <c r="AU1001">
        <v>1999</v>
      </c>
      <c r="AV1001">
        <v>26</v>
      </c>
      <c r="AW1001">
        <v>3</v>
      </c>
      <c r="AX1001" t="s">
        <v>74</v>
      </c>
      <c r="AY1001" t="s">
        <v>74</v>
      </c>
      <c r="AZ1001" t="s">
        <v>74</v>
      </c>
      <c r="BA1001" t="s">
        <v>74</v>
      </c>
      <c r="BB1001">
        <v>253</v>
      </c>
      <c r="BC1001">
        <v>264</v>
      </c>
      <c r="BD1001" t="s">
        <v>74</v>
      </c>
      <c r="BE1001" t="s">
        <v>12623</v>
      </c>
      <c r="BF1001" t="str">
        <f>HYPERLINK("http://dx.doi.org/10.1071/PP98116","http://dx.doi.org/10.1071/PP98116")</f>
        <v>http://dx.doi.org/10.1071/PP98116</v>
      </c>
      <c r="BG1001" t="s">
        <v>74</v>
      </c>
      <c r="BH1001" t="s">
        <v>74</v>
      </c>
      <c r="BI1001">
        <v>12</v>
      </c>
      <c r="BJ1001" t="s">
        <v>5977</v>
      </c>
      <c r="BK1001" t="s">
        <v>96</v>
      </c>
      <c r="BL1001" t="s">
        <v>5977</v>
      </c>
      <c r="BM1001" t="s">
        <v>12624</v>
      </c>
      <c r="BN1001" t="s">
        <v>74</v>
      </c>
      <c r="BO1001" t="s">
        <v>74</v>
      </c>
      <c r="BP1001" t="s">
        <v>74</v>
      </c>
      <c r="BQ1001" t="s">
        <v>74</v>
      </c>
      <c r="BR1001" t="s">
        <v>99</v>
      </c>
      <c r="BS1001" t="s">
        <v>12625</v>
      </c>
      <c r="BT1001" t="str">
        <f>HYPERLINK("https%3A%2F%2Fwww.webofscience.com%2Fwos%2Fwoscc%2Ffull-record%2FWOS:000080377900007","View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2024-07-28T15:26:39Z</dcterms:created>
  <dcterms:modified xsi:type="dcterms:W3CDTF">2024-07-28T15:26:39Z</dcterms:modified>
</cp:coreProperties>
</file>